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Юридическое управление\ДОГОВОРЫ_БАШКИРИЯ\Договоры с субподрядчиками\Строительство ТП\проект договора\"/>
    </mc:Choice>
  </mc:AlternateContent>
  <xr:revisionPtr revIDLastSave="0" documentId="13_ncr:1_{1EE568C6-A7E3-435E-AA7A-34DC507827E8}" xr6:coauthVersionLast="47" xr6:coauthVersionMax="47" xr10:uidLastSave="{00000000-0000-0000-0000-000000000000}"/>
  <bookViews>
    <workbookView xWindow="-120" yWindow="-120" windowWidth="29040" windowHeight="15840" tabRatio="615" firstSheet="4" activeTab="4" xr2:uid="{00000000-000D-0000-FFFF-FFFF00000000}"/>
  </bookViews>
  <sheets>
    <sheet name="Лист1 (2)" sheetId="2" state="hidden" r:id="rId1"/>
    <sheet name="аванс 1 пк" sheetId="1" state="hidden" r:id="rId2"/>
    <sheet name="авансирование пк1" sheetId="3" state="hidden" r:id="rId3"/>
    <sheet name="на заказчика ПК  1" sheetId="4" state="hidden" r:id="rId4"/>
    <sheet name="Финплан" sheetId="6" r:id="rId5"/>
    <sheet name="Лист1" sheetId="7" state="hidden" r:id="rId6"/>
    <sheet name="финанс 22 (70% от 28 млрд)" sheetId="5" state="hidden" r:id="rId7"/>
  </sheets>
  <definedNames>
    <definedName name="_xlnm.Print_Area" localSheetId="6">'финанс 22 (70% от 28 млрд)'!$A$2:$AF$41</definedName>
    <definedName name="_xlnm.Print_Area" localSheetId="4">Финплан!$A$1:$O$35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6" l="1"/>
  <c r="E23" i="6"/>
  <c r="F23" i="6"/>
  <c r="G23" i="6"/>
  <c r="H23" i="6"/>
  <c r="I23" i="6"/>
  <c r="J23" i="6"/>
  <c r="K23" i="6"/>
  <c r="L23" i="6"/>
  <c r="M23" i="6"/>
  <c r="N23" i="6"/>
  <c r="C23" i="6"/>
  <c r="O23" i="6" l="1"/>
  <c r="N22" i="6"/>
  <c r="M22" i="6"/>
  <c r="M15" i="6" s="1"/>
  <c r="M13" i="6" s="1"/>
  <c r="L22" i="6"/>
  <c r="L15" i="6" s="1"/>
  <c r="L13" i="6" s="1"/>
  <c r="K22" i="6"/>
  <c r="K15" i="6" s="1"/>
  <c r="K13" i="6" s="1"/>
  <c r="J22" i="6"/>
  <c r="J15" i="6" s="1"/>
  <c r="J13" i="6" s="1"/>
  <c r="J9" i="6" s="1"/>
  <c r="I22" i="6"/>
  <c r="I15" i="6" s="1"/>
  <c r="I13" i="6" s="1"/>
  <c r="H22" i="6"/>
  <c r="H15" i="6" s="1"/>
  <c r="H13" i="6" s="1"/>
  <c r="G22" i="6"/>
  <c r="G15" i="6" s="1"/>
  <c r="G13" i="6" s="1"/>
  <c r="F22" i="6"/>
  <c r="F15" i="6" s="1"/>
  <c r="F13" i="6" s="1"/>
  <c r="E22" i="6"/>
  <c r="E15" i="6" s="1"/>
  <c r="E13" i="6" s="1"/>
  <c r="E9" i="6" s="1"/>
  <c r="D22" i="6"/>
  <c r="D15" i="6" s="1"/>
  <c r="D13" i="6" s="1"/>
  <c r="C22" i="6"/>
  <c r="O21" i="6"/>
  <c r="C20" i="6"/>
  <c r="D20" i="6" s="1"/>
  <c r="E20" i="6" s="1"/>
  <c r="F20" i="6" s="1"/>
  <c r="G20" i="6" s="1"/>
  <c r="H20" i="6" s="1"/>
  <c r="I20" i="6" s="1"/>
  <c r="J20" i="6" s="1"/>
  <c r="K20" i="6" s="1"/>
  <c r="L20" i="6" s="1"/>
  <c r="M20" i="6" s="1"/>
  <c r="N20" i="6" s="1"/>
  <c r="C17" i="6"/>
  <c r="D17" i="6" s="1"/>
  <c r="E17" i="6" s="1"/>
  <c r="F17" i="6" s="1"/>
  <c r="G17" i="6" s="1"/>
  <c r="H17" i="6" s="1"/>
  <c r="I17" i="6" s="1"/>
  <c r="J17" i="6" s="1"/>
  <c r="K17" i="6" s="1"/>
  <c r="L17" i="6" s="1"/>
  <c r="M17" i="6" s="1"/>
  <c r="N17" i="6" s="1"/>
  <c r="O16" i="6"/>
  <c r="N15" i="6"/>
  <c r="N13" i="6" s="1"/>
  <c r="O14" i="6"/>
  <c r="C13" i="6"/>
  <c r="B13" i="6"/>
  <c r="O12" i="6"/>
  <c r="O11" i="6"/>
  <c r="N10" i="6"/>
  <c r="M10" i="6"/>
  <c r="M9" i="6" s="1"/>
  <c r="L10" i="6"/>
  <c r="K10" i="6"/>
  <c r="J10" i="6"/>
  <c r="I10" i="6"/>
  <c r="H10" i="6"/>
  <c r="G10" i="6"/>
  <c r="F10" i="6"/>
  <c r="E10" i="6"/>
  <c r="D10" i="6"/>
  <c r="C10" i="6"/>
  <c r="B10" i="6"/>
  <c r="K9" i="6" l="1"/>
  <c r="F9" i="6"/>
  <c r="O22" i="6"/>
  <c r="D9" i="6"/>
  <c r="B9" i="6"/>
  <c r="O10" i="6"/>
  <c r="O15" i="6"/>
  <c r="O13" i="6" s="1"/>
  <c r="C9" i="6"/>
  <c r="N9" i="6"/>
  <c r="I9" i="6"/>
  <c r="C19" i="6"/>
  <c r="C18" i="6" s="1"/>
  <c r="L9" i="6"/>
  <c r="G9" i="6"/>
  <c r="H9" i="6"/>
  <c r="O20" i="6"/>
  <c r="O17" i="6"/>
  <c r="O9" i="6" l="1"/>
  <c r="D19" i="6"/>
  <c r="E19" i="6"/>
  <c r="D18" i="6"/>
  <c r="E18" i="6" l="1"/>
  <c r="F19" i="6"/>
  <c r="F18" i="6" l="1"/>
  <c r="G19" i="6"/>
  <c r="H19" i="6" l="1"/>
  <c r="G18" i="6"/>
  <c r="I19" i="6" l="1"/>
  <c r="H18" i="6"/>
  <c r="I18" i="6" l="1"/>
  <c r="J19" i="6"/>
  <c r="K19" i="6" l="1"/>
  <c r="J18" i="6"/>
  <c r="L19" i="6" l="1"/>
  <c r="K18" i="6"/>
  <c r="S24" i="5"/>
  <c r="T24" i="5" s="1"/>
  <c r="S18" i="5"/>
  <c r="U18" i="5"/>
  <c r="AD37" i="5"/>
  <c r="AC37" i="5"/>
  <c r="AB37" i="5"/>
  <c r="T18" i="5"/>
  <c r="M19" i="6" l="1"/>
  <c r="L18" i="6"/>
  <c r="S25" i="5"/>
  <c r="T25" i="5"/>
  <c r="U24" i="5"/>
  <c r="AB15" i="5"/>
  <c r="AA13" i="5"/>
  <c r="N19" i="6" l="1"/>
  <c r="M18" i="6"/>
  <c r="U25" i="5"/>
  <c r="U15" i="5"/>
  <c r="V24" i="5" s="1"/>
  <c r="N18" i="6" l="1"/>
  <c r="O18" i="6" s="1"/>
  <c r="O19" i="6"/>
  <c r="V25" i="5"/>
  <c r="U40" i="5"/>
  <c r="U36" i="5" s="1"/>
  <c r="AG37" i="5"/>
  <c r="P39" i="5"/>
  <c r="X39" i="5" l="1"/>
  <c r="X40" i="5" s="1"/>
  <c r="X36" i="5" s="1"/>
  <c r="W39" i="5"/>
  <c r="Y43" i="5" l="1"/>
  <c r="W40" i="5"/>
  <c r="W36" i="5" s="1"/>
  <c r="AC35" i="5"/>
  <c r="AD39" i="5"/>
  <c r="AC39" i="5"/>
  <c r="AB39" i="5"/>
  <c r="AA39" i="5"/>
  <c r="Z39" i="5"/>
  <c r="Y39" i="5"/>
  <c r="V40" i="5"/>
  <c r="AE39" i="5" l="1"/>
  <c r="AC43" i="5"/>
  <c r="V36" i="5"/>
  <c r="T40" i="5"/>
  <c r="AE37" i="5"/>
  <c r="T34" i="5"/>
  <c r="S34" i="5"/>
  <c r="AE33" i="5"/>
  <c r="AE32" i="5"/>
  <c r="AD31" i="5"/>
  <c r="AC31" i="5"/>
  <c r="AB31" i="5"/>
  <c r="AA31" i="5"/>
  <c r="Z31" i="5"/>
  <c r="Y31" i="5"/>
  <c r="X31" i="5"/>
  <c r="W31" i="5"/>
  <c r="V31" i="5"/>
  <c r="U31" i="5"/>
  <c r="T31" i="5"/>
  <c r="S31" i="5"/>
  <c r="AA15" i="5"/>
  <c r="Z15" i="5"/>
  <c r="Y15" i="5"/>
  <c r="X15" i="5"/>
  <c r="W15" i="5"/>
  <c r="V15" i="5"/>
  <c r="W24" i="5" l="1"/>
  <c r="W25" i="5" s="1"/>
  <c r="AE15" i="5"/>
  <c r="T30" i="5"/>
  <c r="T29" i="5" s="1"/>
  <c r="S30" i="5"/>
  <c r="S29" i="5" s="1"/>
  <c r="AE31" i="5"/>
  <c r="P37" i="5"/>
  <c r="O37" i="5"/>
  <c r="N37" i="5"/>
  <c r="M37" i="5"/>
  <c r="J37" i="5"/>
  <c r="AC16" i="5"/>
  <c r="AE13" i="5"/>
  <c r="AD10" i="5"/>
  <c r="AC10" i="5"/>
  <c r="V7" i="5"/>
  <c r="AE8" i="5"/>
  <c r="AD7" i="5"/>
  <c r="AC7" i="5"/>
  <c r="AB7" i="5"/>
  <c r="AA7" i="5"/>
  <c r="Z7" i="5"/>
  <c r="Y7" i="5"/>
  <c r="X7" i="5"/>
  <c r="W7" i="5"/>
  <c r="U7" i="5"/>
  <c r="T7" i="5"/>
  <c r="S7" i="5"/>
  <c r="AC6" i="5" l="1"/>
  <c r="AC5" i="5" s="1"/>
  <c r="AD6" i="5"/>
  <c r="AD5" i="5" s="1"/>
  <c r="AE9" i="5"/>
  <c r="H16" i="5"/>
  <c r="M13" i="5"/>
  <c r="K13" i="5"/>
  <c r="N11" i="5"/>
  <c r="H9" i="5"/>
  <c r="AE7" i="5" l="1"/>
  <c r="G13" i="5"/>
  <c r="C15" i="5"/>
  <c r="D15" i="5" s="1"/>
  <c r="C39" i="5"/>
  <c r="D39" i="5" s="1"/>
  <c r="L39" i="5"/>
  <c r="K39" i="5"/>
  <c r="K40" i="5"/>
  <c r="J39" i="5"/>
  <c r="I39" i="5"/>
  <c r="H39" i="5"/>
  <c r="H40" i="5"/>
  <c r="G39" i="5"/>
  <c r="G40" i="5" s="1"/>
  <c r="F39" i="5"/>
  <c r="F40" i="5" s="1"/>
  <c r="E38" i="5"/>
  <c r="F38" i="5" s="1"/>
  <c r="G38" i="5" s="1"/>
  <c r="I31" i="5"/>
  <c r="L31" i="5"/>
  <c r="P31" i="5"/>
  <c r="Q37" i="5"/>
  <c r="R37" i="5" s="1"/>
  <c r="AF37" i="5" s="1"/>
  <c r="AH37" i="5" s="1"/>
  <c r="Q36" i="5"/>
  <c r="R36" i="5" s="1"/>
  <c r="Q35" i="5"/>
  <c r="P34" i="5"/>
  <c r="O34" i="5"/>
  <c r="N34" i="5"/>
  <c r="M34" i="5"/>
  <c r="L34" i="5"/>
  <c r="K34" i="5"/>
  <c r="J34" i="5"/>
  <c r="I34" i="5"/>
  <c r="H34" i="5"/>
  <c r="G34" i="5"/>
  <c r="F34" i="5"/>
  <c r="E34" i="5"/>
  <c r="Q32" i="5"/>
  <c r="R32" i="5" s="1"/>
  <c r="AF32" i="5" s="1"/>
  <c r="O31" i="5"/>
  <c r="N31" i="5"/>
  <c r="M31" i="5"/>
  <c r="K31" i="5"/>
  <c r="J31" i="5"/>
  <c r="H31" i="5"/>
  <c r="G31" i="5"/>
  <c r="F31" i="5"/>
  <c r="E31" i="5"/>
  <c r="D22" i="5"/>
  <c r="L19" i="5"/>
  <c r="L20" i="5"/>
  <c r="H19" i="5"/>
  <c r="H20" i="5" s="1"/>
  <c r="D20" i="5"/>
  <c r="O16" i="5"/>
  <c r="P10" i="5"/>
  <c r="P7" i="5"/>
  <c r="M16" i="5"/>
  <c r="F16" i="5"/>
  <c r="N16" i="5"/>
  <c r="O10" i="5"/>
  <c r="K15" i="5"/>
  <c r="Q15" i="5" s="1"/>
  <c r="R15" i="5" s="1"/>
  <c r="AF15" i="5" s="1"/>
  <c r="C16" i="5"/>
  <c r="E13" i="5"/>
  <c r="F13" i="5"/>
  <c r="N10" i="5"/>
  <c r="N7" i="5"/>
  <c r="D12" i="5"/>
  <c r="Q11" i="5"/>
  <c r="D11" i="5"/>
  <c r="M10" i="5"/>
  <c r="L10" i="5"/>
  <c r="K10" i="5"/>
  <c r="J10" i="5"/>
  <c r="I10" i="5"/>
  <c r="H10" i="5"/>
  <c r="G10" i="5"/>
  <c r="F10" i="5"/>
  <c r="E10" i="5"/>
  <c r="C10" i="5"/>
  <c r="B10" i="5"/>
  <c r="Q9" i="5"/>
  <c r="Q8" i="5"/>
  <c r="D9" i="5"/>
  <c r="C8" i="5"/>
  <c r="D8" i="5" s="1"/>
  <c r="O7" i="5"/>
  <c r="M7" i="5"/>
  <c r="M6" i="5" s="1"/>
  <c r="M5" i="5" s="1"/>
  <c r="L7" i="5"/>
  <c r="K7" i="5"/>
  <c r="J7" i="5"/>
  <c r="I7" i="5"/>
  <c r="I6" i="5" s="1"/>
  <c r="I5" i="5" s="1"/>
  <c r="H7" i="5"/>
  <c r="G7" i="5"/>
  <c r="F7" i="5"/>
  <c r="E7" i="5"/>
  <c r="B7" i="5"/>
  <c r="Q12" i="5"/>
  <c r="Q33" i="5"/>
  <c r="J38" i="4"/>
  <c r="L38" i="4"/>
  <c r="K38" i="4"/>
  <c r="K39" i="4" s="1"/>
  <c r="I38" i="4"/>
  <c r="H38" i="4"/>
  <c r="H39" i="4" s="1"/>
  <c r="G38" i="4"/>
  <c r="G39" i="4" s="1"/>
  <c r="F38" i="4"/>
  <c r="F39" i="4" s="1"/>
  <c r="C38" i="4"/>
  <c r="C39" i="4" s="1"/>
  <c r="D39" i="4" s="1"/>
  <c r="E37" i="4"/>
  <c r="F37" i="4" s="1"/>
  <c r="G37" i="4" s="1"/>
  <c r="H37" i="4" s="1"/>
  <c r="O36" i="4"/>
  <c r="Q36" i="4" s="1"/>
  <c r="Q35" i="4"/>
  <c r="Q34" i="4"/>
  <c r="P33" i="4"/>
  <c r="O33" i="4"/>
  <c r="N33" i="4"/>
  <c r="M33" i="4"/>
  <c r="L33" i="4"/>
  <c r="K33" i="4"/>
  <c r="J33" i="4"/>
  <c r="I33" i="4"/>
  <c r="I29" i="4" s="1"/>
  <c r="I28" i="4" s="1"/>
  <c r="H33" i="4"/>
  <c r="G33" i="4"/>
  <c r="F33" i="4"/>
  <c r="E33" i="4"/>
  <c r="P32" i="4"/>
  <c r="P30" i="4" s="1"/>
  <c r="Q31" i="4"/>
  <c r="O30" i="4"/>
  <c r="N30" i="4"/>
  <c r="M30" i="4"/>
  <c r="L30" i="4"/>
  <c r="K30" i="4"/>
  <c r="J30" i="4"/>
  <c r="I30" i="4"/>
  <c r="H30" i="4"/>
  <c r="G30" i="4"/>
  <c r="G29" i="4" s="1"/>
  <c r="G28" i="4" s="1"/>
  <c r="F30" i="4"/>
  <c r="E30" i="4"/>
  <c r="D22" i="4"/>
  <c r="D20" i="4"/>
  <c r="L19" i="4"/>
  <c r="L20" i="4" s="1"/>
  <c r="H19" i="4"/>
  <c r="H20" i="4" s="1"/>
  <c r="H21" i="4" s="1"/>
  <c r="P15" i="4"/>
  <c r="P16" i="4" s="1"/>
  <c r="M16" i="4"/>
  <c r="N12" i="4" s="1"/>
  <c r="N10" i="4" s="1"/>
  <c r="K15" i="4"/>
  <c r="K16" i="4" s="1"/>
  <c r="H16" i="4"/>
  <c r="F16" i="4"/>
  <c r="O15" i="4"/>
  <c r="O16" i="4" s="1"/>
  <c r="N15" i="4"/>
  <c r="N16" i="4" s="1"/>
  <c r="C15" i="4"/>
  <c r="D15" i="4" s="1"/>
  <c r="P13" i="4"/>
  <c r="O13" i="4"/>
  <c r="N13" i="4"/>
  <c r="M13" i="4"/>
  <c r="L13" i="4"/>
  <c r="K13" i="4"/>
  <c r="J13" i="4"/>
  <c r="I13" i="4"/>
  <c r="H13" i="4"/>
  <c r="G13" i="4"/>
  <c r="F13" i="4"/>
  <c r="E13" i="4"/>
  <c r="D12" i="4"/>
  <c r="Q11" i="4"/>
  <c r="D11" i="4"/>
  <c r="D10" i="4" s="1"/>
  <c r="M10" i="4"/>
  <c r="M6" i="4" s="1"/>
  <c r="M5" i="4" s="1"/>
  <c r="L10" i="4"/>
  <c r="K10" i="4"/>
  <c r="J10" i="4"/>
  <c r="I10" i="4"/>
  <c r="H10" i="4"/>
  <c r="G10" i="4"/>
  <c r="F10" i="4"/>
  <c r="E10" i="4"/>
  <c r="E6" i="4" s="1"/>
  <c r="E5" i="4" s="1"/>
  <c r="C10" i="4"/>
  <c r="B10" i="4"/>
  <c r="Q9" i="4"/>
  <c r="D9" i="4"/>
  <c r="Q8" i="4"/>
  <c r="C8" i="4"/>
  <c r="C7" i="4" s="1"/>
  <c r="D8" i="4"/>
  <c r="P7" i="4"/>
  <c r="O7" i="4"/>
  <c r="N7" i="4"/>
  <c r="M7" i="4"/>
  <c r="L7" i="4"/>
  <c r="K7" i="4"/>
  <c r="K6" i="4" s="1"/>
  <c r="K5" i="4" s="1"/>
  <c r="J7" i="4"/>
  <c r="J6" i="4" s="1"/>
  <c r="J5" i="4" s="1"/>
  <c r="I7" i="4"/>
  <c r="I6" i="4" s="1"/>
  <c r="I5" i="4" s="1"/>
  <c r="H7" i="4"/>
  <c r="G7" i="4"/>
  <c r="F7" i="4"/>
  <c r="E7" i="4"/>
  <c r="B7" i="4"/>
  <c r="D38" i="4"/>
  <c r="I33" i="3"/>
  <c r="Q33" i="3" s="1"/>
  <c r="D42" i="3"/>
  <c r="D43" i="3" s="1"/>
  <c r="H19" i="3"/>
  <c r="H20" i="3" s="1"/>
  <c r="L19" i="3"/>
  <c r="L20" i="3" s="1"/>
  <c r="C37" i="3"/>
  <c r="D37" i="3" s="1"/>
  <c r="L37" i="3"/>
  <c r="K37" i="3"/>
  <c r="K38" i="3" s="1"/>
  <c r="I37" i="3"/>
  <c r="H37" i="3"/>
  <c r="H38" i="3" s="1"/>
  <c r="G37" i="3"/>
  <c r="G38" i="3" s="1"/>
  <c r="F37" i="3"/>
  <c r="F38" i="3" s="1"/>
  <c r="E36" i="3"/>
  <c r="F36" i="3" s="1"/>
  <c r="G36" i="3" s="1"/>
  <c r="H36" i="3" s="1"/>
  <c r="I29" i="3"/>
  <c r="L29" i="3"/>
  <c r="L28" i="3" s="1"/>
  <c r="L27" i="3" s="1"/>
  <c r="O35" i="3"/>
  <c r="Q35" i="3" s="1"/>
  <c r="Q34" i="3"/>
  <c r="P32" i="3"/>
  <c r="O32" i="3"/>
  <c r="N32" i="3"/>
  <c r="M32" i="3"/>
  <c r="L32" i="3"/>
  <c r="K32" i="3"/>
  <c r="J32" i="3"/>
  <c r="H32" i="3"/>
  <c r="G32" i="3"/>
  <c r="F32" i="3"/>
  <c r="E32" i="3"/>
  <c r="P31" i="3"/>
  <c r="P29" i="3" s="1"/>
  <c r="P28" i="3" s="1"/>
  <c r="P27" i="3" s="1"/>
  <c r="Q30" i="3"/>
  <c r="O29" i="3"/>
  <c r="O28" i="3" s="1"/>
  <c r="O27" i="3" s="1"/>
  <c r="N29" i="3"/>
  <c r="M29" i="3"/>
  <c r="K29" i="3"/>
  <c r="J29" i="3"/>
  <c r="H29" i="3"/>
  <c r="G29" i="3"/>
  <c r="F29" i="3"/>
  <c r="F28" i="3" s="1"/>
  <c r="F27" i="3" s="1"/>
  <c r="E29" i="3"/>
  <c r="D22" i="3"/>
  <c r="D20" i="3"/>
  <c r="P15" i="3"/>
  <c r="P16" i="3" s="1"/>
  <c r="O15" i="3"/>
  <c r="O16" i="3" s="1"/>
  <c r="M16" i="3"/>
  <c r="N12" i="3" s="1"/>
  <c r="N10" i="3" s="1"/>
  <c r="H16" i="3"/>
  <c r="F16" i="3"/>
  <c r="N15" i="3"/>
  <c r="N16" i="3" s="1"/>
  <c r="K15" i="3"/>
  <c r="C15" i="3"/>
  <c r="C16" i="3" s="1"/>
  <c r="D9" i="3"/>
  <c r="E13" i="3"/>
  <c r="E14" i="3" s="1"/>
  <c r="F13" i="3"/>
  <c r="G13" i="3"/>
  <c r="H13" i="3"/>
  <c r="I13" i="3"/>
  <c r="J13" i="3"/>
  <c r="K13" i="3"/>
  <c r="L13" i="3"/>
  <c r="M13" i="3"/>
  <c r="N13" i="3"/>
  <c r="O13" i="3"/>
  <c r="P13" i="3"/>
  <c r="N7" i="3"/>
  <c r="D12" i="3"/>
  <c r="D11" i="3"/>
  <c r="M10" i="3"/>
  <c r="K10" i="3"/>
  <c r="J10" i="3"/>
  <c r="J7" i="3"/>
  <c r="I10" i="3"/>
  <c r="H10" i="3"/>
  <c r="G10" i="3"/>
  <c r="F10" i="3"/>
  <c r="E10" i="3"/>
  <c r="C10" i="3"/>
  <c r="B10" i="3"/>
  <c r="Q9" i="3"/>
  <c r="Q8" i="3"/>
  <c r="C8" i="3"/>
  <c r="D8" i="3" s="1"/>
  <c r="P7" i="3"/>
  <c r="O7" i="3"/>
  <c r="M7" i="3"/>
  <c r="L7" i="3"/>
  <c r="K7" i="3"/>
  <c r="I7" i="3"/>
  <c r="H7" i="3"/>
  <c r="G7" i="3"/>
  <c r="G6" i="3" s="1"/>
  <c r="G5" i="3" s="1"/>
  <c r="F7" i="3"/>
  <c r="F6" i="3" s="1"/>
  <c r="F5" i="3" s="1"/>
  <c r="E7" i="3"/>
  <c r="B7" i="3"/>
  <c r="E13" i="1"/>
  <c r="E14" i="1" s="1"/>
  <c r="F13" i="1"/>
  <c r="G13" i="1"/>
  <c r="H13" i="1"/>
  <c r="I13" i="1"/>
  <c r="J13" i="1"/>
  <c r="K13" i="1"/>
  <c r="K15" i="1"/>
  <c r="K16" i="1" s="1"/>
  <c r="L13" i="1"/>
  <c r="M13" i="1"/>
  <c r="N13" i="1"/>
  <c r="N15" i="1"/>
  <c r="N16" i="1" s="1"/>
  <c r="O13" i="1"/>
  <c r="O15" i="1"/>
  <c r="P13" i="1"/>
  <c r="P15" i="1"/>
  <c r="P16" i="1" s="1"/>
  <c r="H20" i="1"/>
  <c r="L19" i="1"/>
  <c r="L20" i="1" s="1"/>
  <c r="D11" i="1"/>
  <c r="C8" i="1"/>
  <c r="D8" i="1" s="1"/>
  <c r="Q8" i="1"/>
  <c r="Q7" i="1" s="1"/>
  <c r="Q9" i="1"/>
  <c r="D9" i="1"/>
  <c r="Q11" i="3"/>
  <c r="L10" i="3"/>
  <c r="H16" i="1"/>
  <c r="C15" i="1"/>
  <c r="D15" i="1" s="1"/>
  <c r="M16" i="1"/>
  <c r="N12" i="1" s="1"/>
  <c r="N10" i="1" s="1"/>
  <c r="D12" i="1"/>
  <c r="L18" i="2"/>
  <c r="L22" i="2" s="1"/>
  <c r="H18" i="2"/>
  <c r="H22" i="2" s="1"/>
  <c r="H36" i="2"/>
  <c r="H37" i="2" s="1"/>
  <c r="G36" i="2"/>
  <c r="G37" i="2" s="1"/>
  <c r="F36" i="2"/>
  <c r="F37" i="2" s="1"/>
  <c r="P30" i="2"/>
  <c r="P36" i="2" s="1"/>
  <c r="L36" i="2"/>
  <c r="K36" i="2"/>
  <c r="K37" i="2" s="1"/>
  <c r="I36" i="2"/>
  <c r="C36" i="2"/>
  <c r="C37" i="2" s="1"/>
  <c r="D37" i="2" s="1"/>
  <c r="E35" i="2"/>
  <c r="F35" i="2" s="1"/>
  <c r="G35" i="2" s="1"/>
  <c r="H35" i="2" s="1"/>
  <c r="I28" i="2"/>
  <c r="L28" i="2"/>
  <c r="L27" i="2" s="1"/>
  <c r="L26" i="2" s="1"/>
  <c r="O34" i="2"/>
  <c r="Q33" i="2"/>
  <c r="H32" i="2"/>
  <c r="Q32" i="2" s="1"/>
  <c r="P31" i="2"/>
  <c r="O31" i="2"/>
  <c r="N31" i="2"/>
  <c r="M31" i="2"/>
  <c r="L31" i="2"/>
  <c r="K31" i="2"/>
  <c r="J31" i="2"/>
  <c r="I31" i="2"/>
  <c r="G31" i="2"/>
  <c r="F31" i="2"/>
  <c r="E31" i="2"/>
  <c r="Q29" i="2"/>
  <c r="O28" i="2"/>
  <c r="N28" i="2"/>
  <c r="M28" i="2"/>
  <c r="M27" i="2" s="1"/>
  <c r="M26" i="2" s="1"/>
  <c r="K28" i="2"/>
  <c r="J28" i="2"/>
  <c r="H28" i="2"/>
  <c r="G28" i="2"/>
  <c r="F28" i="2"/>
  <c r="E28" i="2"/>
  <c r="D21" i="2"/>
  <c r="H19" i="2"/>
  <c r="D19" i="2"/>
  <c r="I18" i="2"/>
  <c r="I22" i="2" s="1"/>
  <c r="N15" i="2"/>
  <c r="N16" i="2" s="1"/>
  <c r="M16" i="2"/>
  <c r="I15" i="2"/>
  <c r="I16" i="2" s="1"/>
  <c r="C15" i="2"/>
  <c r="D15" i="2" s="1"/>
  <c r="P15" i="2"/>
  <c r="P16" i="2" s="1"/>
  <c r="O15" i="2"/>
  <c r="O16" i="2" s="1"/>
  <c r="P7" i="2"/>
  <c r="O7" i="2"/>
  <c r="H15" i="2"/>
  <c r="H16" i="2" s="1"/>
  <c r="G15" i="2"/>
  <c r="G16" i="2" s="1"/>
  <c r="F15" i="2"/>
  <c r="F16" i="2" s="1"/>
  <c r="K9" i="2"/>
  <c r="K15" i="2" s="1"/>
  <c r="K16" i="2" s="1"/>
  <c r="E13" i="2"/>
  <c r="E14" i="2" s="1"/>
  <c r="F13" i="2"/>
  <c r="G13" i="2"/>
  <c r="H13" i="2"/>
  <c r="I13" i="2"/>
  <c r="J13" i="2"/>
  <c r="K13" i="2"/>
  <c r="L13" i="2"/>
  <c r="M13" i="2"/>
  <c r="N13" i="2"/>
  <c r="O13" i="2"/>
  <c r="P13" i="2"/>
  <c r="N12" i="2"/>
  <c r="N10" i="2" s="1"/>
  <c r="N7" i="2"/>
  <c r="D12" i="2"/>
  <c r="Q11" i="2"/>
  <c r="D11" i="2"/>
  <c r="M10" i="2"/>
  <c r="L10" i="2"/>
  <c r="L7" i="2"/>
  <c r="L6" i="2" s="1"/>
  <c r="L5" i="2" s="1"/>
  <c r="K10" i="2"/>
  <c r="J10" i="2"/>
  <c r="I10" i="2"/>
  <c r="H10" i="2"/>
  <c r="H7" i="2"/>
  <c r="G10" i="2"/>
  <c r="G7" i="2"/>
  <c r="F10" i="2"/>
  <c r="E10" i="2"/>
  <c r="C10" i="2"/>
  <c r="B10" i="2"/>
  <c r="D9" i="2"/>
  <c r="Q8" i="2"/>
  <c r="C8" i="2"/>
  <c r="D8" i="2" s="1"/>
  <c r="M7" i="2"/>
  <c r="J7" i="2"/>
  <c r="I7" i="2"/>
  <c r="I6" i="2" s="1"/>
  <c r="I5" i="2" s="1"/>
  <c r="F7" i="2"/>
  <c r="E7" i="2"/>
  <c r="B7" i="2"/>
  <c r="D22" i="1"/>
  <c r="I19" i="1"/>
  <c r="I20" i="1" s="1"/>
  <c r="H19" i="1"/>
  <c r="D20" i="1"/>
  <c r="P31" i="1"/>
  <c r="P37" i="1" s="1"/>
  <c r="L37" i="1"/>
  <c r="I37" i="1"/>
  <c r="K37" i="1"/>
  <c r="K38" i="1" s="1"/>
  <c r="H37" i="1"/>
  <c r="H38" i="1" s="1"/>
  <c r="G37" i="1"/>
  <c r="G38" i="1" s="1"/>
  <c r="F37" i="1"/>
  <c r="F38" i="1" s="1"/>
  <c r="C37" i="1"/>
  <c r="D37" i="1" s="1"/>
  <c r="E36" i="1"/>
  <c r="F36" i="1" s="1"/>
  <c r="G36" i="1" s="1"/>
  <c r="H36" i="1" s="1"/>
  <c r="I29" i="1"/>
  <c r="L29" i="1"/>
  <c r="O35" i="1"/>
  <c r="Q35" i="1" s="1"/>
  <c r="Q34" i="1"/>
  <c r="H33" i="1"/>
  <c r="Q33" i="1" s="1"/>
  <c r="P32" i="1"/>
  <c r="O32" i="1"/>
  <c r="N32" i="1"/>
  <c r="M32" i="1"/>
  <c r="L32" i="1"/>
  <c r="K32" i="1"/>
  <c r="J32" i="1"/>
  <c r="I32" i="1"/>
  <c r="G32" i="1"/>
  <c r="F32" i="1"/>
  <c r="E32" i="1"/>
  <c r="Q30" i="1"/>
  <c r="O29" i="1"/>
  <c r="N29" i="1"/>
  <c r="N28" i="1" s="1"/>
  <c r="N27" i="1" s="1"/>
  <c r="M29" i="1"/>
  <c r="K29" i="1"/>
  <c r="K28" i="1" s="1"/>
  <c r="K27" i="1" s="1"/>
  <c r="J29" i="1"/>
  <c r="J28" i="1" s="1"/>
  <c r="J27" i="1" s="1"/>
  <c r="H29" i="1"/>
  <c r="G29" i="1"/>
  <c r="F29" i="1"/>
  <c r="E29" i="1"/>
  <c r="P7" i="1"/>
  <c r="F16" i="1"/>
  <c r="C16" i="1"/>
  <c r="M10" i="1"/>
  <c r="L7" i="1"/>
  <c r="K10" i="1"/>
  <c r="J10" i="1"/>
  <c r="J7" i="1"/>
  <c r="I10" i="1"/>
  <c r="H10" i="1"/>
  <c r="G10" i="1"/>
  <c r="F10" i="1"/>
  <c r="E10" i="1"/>
  <c r="C10" i="1"/>
  <c r="B10" i="1"/>
  <c r="B7" i="1"/>
  <c r="B6" i="1" s="1"/>
  <c r="B5" i="1" s="1"/>
  <c r="O7" i="1"/>
  <c r="N7" i="1"/>
  <c r="M7" i="1"/>
  <c r="I7" i="1"/>
  <c r="H7" i="1"/>
  <c r="G7" i="1"/>
  <c r="F7" i="1"/>
  <c r="E7" i="1"/>
  <c r="K7" i="1"/>
  <c r="P37" i="3" l="1"/>
  <c r="Q32" i="1"/>
  <c r="E29" i="4"/>
  <c r="E28" i="4" s="1"/>
  <c r="E27" i="2"/>
  <c r="E26" i="2" s="1"/>
  <c r="H32" i="1"/>
  <c r="L28" i="1"/>
  <c r="L27" i="1" s="1"/>
  <c r="I6" i="1"/>
  <c r="I5" i="1" s="1"/>
  <c r="D16" i="1"/>
  <c r="M6" i="1"/>
  <c r="M5" i="1" s="1"/>
  <c r="E6" i="2"/>
  <c r="E5" i="2" s="1"/>
  <c r="D10" i="3"/>
  <c r="F6" i="2"/>
  <c r="F5" i="2" s="1"/>
  <c r="Q32" i="4"/>
  <c r="Q30" i="4" s="1"/>
  <c r="Q31" i="3"/>
  <c r="P20" i="3"/>
  <c r="J6" i="2"/>
  <c r="J5" i="2" s="1"/>
  <c r="B6" i="4"/>
  <c r="B5" i="4" s="1"/>
  <c r="E6" i="5"/>
  <c r="E5" i="5" s="1"/>
  <c r="Q31" i="1"/>
  <c r="Q29" i="1" s="1"/>
  <c r="Q28" i="1" s="1"/>
  <c r="Q27" i="1" s="1"/>
  <c r="R11" i="3"/>
  <c r="M28" i="3"/>
  <c r="M27" i="3" s="1"/>
  <c r="D7" i="4"/>
  <c r="F6" i="5"/>
  <c r="F5" i="5" s="1"/>
  <c r="H30" i="5"/>
  <c r="H29" i="5" s="1"/>
  <c r="C7" i="1"/>
  <c r="R12" i="2"/>
  <c r="H20" i="2"/>
  <c r="Q31" i="2"/>
  <c r="H38" i="5"/>
  <c r="I38" i="5" s="1"/>
  <c r="J38" i="5" s="1"/>
  <c r="K38" i="5" s="1"/>
  <c r="L38" i="5" s="1"/>
  <c r="M38" i="5" s="1"/>
  <c r="N38" i="5" s="1"/>
  <c r="O38" i="5" s="1"/>
  <c r="P38" i="5" s="1"/>
  <c r="Q38" i="5" s="1"/>
  <c r="R38" i="5" s="1"/>
  <c r="S38" i="5" s="1"/>
  <c r="T38" i="5" s="1"/>
  <c r="U38" i="5" s="1"/>
  <c r="V38" i="5" s="1"/>
  <c r="W38" i="5" s="1"/>
  <c r="X38" i="5" s="1"/>
  <c r="Y38" i="5" s="1"/>
  <c r="Z38" i="5" s="1"/>
  <c r="AA38" i="5" s="1"/>
  <c r="AB38" i="5" s="1"/>
  <c r="AC38" i="5" s="1"/>
  <c r="AD38" i="5" s="1"/>
  <c r="B6" i="3"/>
  <c r="B5" i="3" s="1"/>
  <c r="G6" i="4"/>
  <c r="G5" i="4" s="1"/>
  <c r="K29" i="4"/>
  <c r="K28" i="4" s="1"/>
  <c r="F14" i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D10" i="2"/>
  <c r="N6" i="1"/>
  <c r="N5" i="1" s="1"/>
  <c r="I37" i="4"/>
  <c r="J37" i="4" s="1"/>
  <c r="K37" i="4" s="1"/>
  <c r="L37" i="4" s="1"/>
  <c r="M37" i="4" s="1"/>
  <c r="N37" i="4" s="1"/>
  <c r="O37" i="4" s="1"/>
  <c r="P37" i="4" s="1"/>
  <c r="Q37" i="4" s="1"/>
  <c r="D10" i="5"/>
  <c r="F6" i="1"/>
  <c r="F5" i="1" s="1"/>
  <c r="F28" i="1"/>
  <c r="F27" i="1" s="1"/>
  <c r="C7" i="3"/>
  <c r="F14" i="3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J28" i="3"/>
  <c r="J27" i="3" s="1"/>
  <c r="N28" i="3"/>
  <c r="N27" i="3" s="1"/>
  <c r="H6" i="4"/>
  <c r="H5" i="4" s="1"/>
  <c r="M30" i="5"/>
  <c r="M29" i="5" s="1"/>
  <c r="I36" i="1"/>
  <c r="J36" i="1" s="1"/>
  <c r="K36" i="1" s="1"/>
  <c r="L36" i="1" s="1"/>
  <c r="M36" i="1" s="1"/>
  <c r="N36" i="1" s="1"/>
  <c r="O36" i="1" s="1"/>
  <c r="G6" i="1"/>
  <c r="G5" i="1" s="1"/>
  <c r="C7" i="2"/>
  <c r="C6" i="2" s="1"/>
  <c r="C5" i="2" s="1"/>
  <c r="F14" i="2"/>
  <c r="G14" i="2" s="1"/>
  <c r="H14" i="2" s="1"/>
  <c r="Q33" i="4"/>
  <c r="H6" i="1"/>
  <c r="H5" i="1" s="1"/>
  <c r="P29" i="1"/>
  <c r="H31" i="2"/>
  <c r="H27" i="2" s="1"/>
  <c r="H26" i="2" s="1"/>
  <c r="J27" i="2"/>
  <c r="J26" i="2" s="1"/>
  <c r="O27" i="2"/>
  <c r="O26" i="2" s="1"/>
  <c r="O12" i="1"/>
  <c r="O10" i="1" s="1"/>
  <c r="O6" i="1" s="1"/>
  <c r="O5" i="1" s="1"/>
  <c r="K30" i="5"/>
  <c r="K29" i="5" s="1"/>
  <c r="L19" i="2"/>
  <c r="P19" i="2" s="1"/>
  <c r="M6" i="2"/>
  <c r="M5" i="2" s="1"/>
  <c r="G27" i="2"/>
  <c r="G26" i="2" s="1"/>
  <c r="D10" i="1"/>
  <c r="Q32" i="3"/>
  <c r="E42" i="3"/>
  <c r="E43" i="3" s="1"/>
  <c r="J6" i="1"/>
  <c r="J5" i="1" s="1"/>
  <c r="D36" i="2"/>
  <c r="D15" i="3"/>
  <c r="D16" i="3" s="1"/>
  <c r="K16" i="5"/>
  <c r="D7" i="3"/>
  <c r="R11" i="4"/>
  <c r="R9" i="5"/>
  <c r="AF9" i="5" s="1"/>
  <c r="H28" i="1"/>
  <c r="H27" i="1" s="1"/>
  <c r="F27" i="2"/>
  <c r="F26" i="2" s="1"/>
  <c r="N27" i="2"/>
  <c r="N26" i="2" s="1"/>
  <c r="N6" i="3"/>
  <c r="N5" i="3" s="1"/>
  <c r="K28" i="3"/>
  <c r="K27" i="3" s="1"/>
  <c r="I36" i="3"/>
  <c r="J36" i="3" s="1"/>
  <c r="K36" i="3" s="1"/>
  <c r="L36" i="3" s="1"/>
  <c r="M36" i="3" s="1"/>
  <c r="N36" i="3" s="1"/>
  <c r="O36" i="3" s="1"/>
  <c r="P36" i="3" s="1"/>
  <c r="Q36" i="3" s="1"/>
  <c r="P20" i="4"/>
  <c r="P19" i="4" s="1"/>
  <c r="H29" i="4"/>
  <c r="H28" i="4" s="1"/>
  <c r="I30" i="5"/>
  <c r="I29" i="5" s="1"/>
  <c r="C40" i="5"/>
  <c r="D40" i="5" s="1"/>
  <c r="G28" i="1"/>
  <c r="G27" i="1" s="1"/>
  <c r="G6" i="2"/>
  <c r="G5" i="2" s="1"/>
  <c r="P28" i="2"/>
  <c r="P27" i="2" s="1"/>
  <c r="P26" i="2" s="1"/>
  <c r="R8" i="3"/>
  <c r="O12" i="4"/>
  <c r="O10" i="4" s="1"/>
  <c r="O6" i="4" s="1"/>
  <c r="O5" i="4" s="1"/>
  <c r="R9" i="4"/>
  <c r="P29" i="4"/>
  <c r="P28" i="4" s="1"/>
  <c r="L29" i="4"/>
  <c r="L28" i="4" s="1"/>
  <c r="B6" i="5"/>
  <c r="B5" i="5" s="1"/>
  <c r="K6" i="1"/>
  <c r="K5" i="1" s="1"/>
  <c r="C6" i="1"/>
  <c r="C5" i="1" s="1"/>
  <c r="Q29" i="3"/>
  <c r="Q28" i="3" s="1"/>
  <c r="Q27" i="3" s="1"/>
  <c r="K6" i="3"/>
  <c r="K5" i="3" s="1"/>
  <c r="J6" i="3"/>
  <c r="J5" i="3" s="1"/>
  <c r="F6" i="4"/>
  <c r="F5" i="4" s="1"/>
  <c r="N6" i="4"/>
  <c r="N5" i="4" s="1"/>
  <c r="Q16" i="4"/>
  <c r="J29" i="4"/>
  <c r="J28" i="4" s="1"/>
  <c r="M29" i="4"/>
  <c r="M28" i="4" s="1"/>
  <c r="B6" i="2"/>
  <c r="B5" i="2" s="1"/>
  <c r="I14" i="2"/>
  <c r="J14" i="2" s="1"/>
  <c r="K14" i="2" s="1"/>
  <c r="L14" i="2" s="1"/>
  <c r="M14" i="2" s="1"/>
  <c r="N14" i="2" s="1"/>
  <c r="O14" i="2" s="1"/>
  <c r="P14" i="2" s="1"/>
  <c r="Q14" i="2" s="1"/>
  <c r="Q30" i="2"/>
  <c r="Q28" i="2" s="1"/>
  <c r="Q27" i="2" s="1"/>
  <c r="Q26" i="2" s="1"/>
  <c r="R8" i="1"/>
  <c r="L6" i="3"/>
  <c r="L5" i="3" s="1"/>
  <c r="I32" i="3"/>
  <c r="I28" i="3" s="1"/>
  <c r="I27" i="3" s="1"/>
  <c r="F29" i="4"/>
  <c r="F28" i="4" s="1"/>
  <c r="G30" i="5"/>
  <c r="G29" i="5" s="1"/>
  <c r="C16" i="2"/>
  <c r="D16" i="2" s="1"/>
  <c r="I27" i="2"/>
  <c r="I26" i="2" s="1"/>
  <c r="M6" i="3"/>
  <c r="M5" i="3" s="1"/>
  <c r="C16" i="4"/>
  <c r="D7" i="5"/>
  <c r="D6" i="5" s="1"/>
  <c r="D5" i="5" s="1"/>
  <c r="E30" i="5"/>
  <c r="E29" i="5" s="1"/>
  <c r="N6" i="2"/>
  <c r="N5" i="2" s="1"/>
  <c r="Q7" i="3"/>
  <c r="R7" i="3" s="1"/>
  <c r="I6" i="3"/>
  <c r="I5" i="3" s="1"/>
  <c r="Q38" i="3"/>
  <c r="Q13" i="4"/>
  <c r="R13" i="4" s="1"/>
  <c r="Q39" i="4"/>
  <c r="P20" i="5"/>
  <c r="P19" i="5" s="1"/>
  <c r="E28" i="1"/>
  <c r="E27" i="1" s="1"/>
  <c r="M28" i="1"/>
  <c r="M27" i="1" s="1"/>
  <c r="K7" i="2"/>
  <c r="K6" i="2" s="1"/>
  <c r="K5" i="2" s="1"/>
  <c r="H6" i="3"/>
  <c r="H5" i="3" s="1"/>
  <c r="P38" i="4"/>
  <c r="Q38" i="4" s="1"/>
  <c r="Q29" i="4"/>
  <c r="Q28" i="4" s="1"/>
  <c r="D6" i="4"/>
  <c r="D5" i="4" s="1"/>
  <c r="C7" i="5"/>
  <c r="C6" i="5" s="1"/>
  <c r="C5" i="5" s="1"/>
  <c r="E6" i="1"/>
  <c r="E5" i="1" s="1"/>
  <c r="O28" i="1"/>
  <c r="O27" i="1" s="1"/>
  <c r="I28" i="1"/>
  <c r="I27" i="1" s="1"/>
  <c r="R9" i="1"/>
  <c r="Q15" i="1"/>
  <c r="R15" i="1" s="1"/>
  <c r="G28" i="3"/>
  <c r="G27" i="3" s="1"/>
  <c r="C6" i="4"/>
  <c r="C5" i="4" s="1"/>
  <c r="H21" i="3"/>
  <c r="P28" i="1"/>
  <c r="P27" i="1" s="1"/>
  <c r="Q9" i="2"/>
  <c r="Q7" i="2" s="1"/>
  <c r="H6" i="2"/>
  <c r="H5" i="2" s="1"/>
  <c r="C6" i="3"/>
  <c r="C5" i="3" s="1"/>
  <c r="Q15" i="3"/>
  <c r="H28" i="3"/>
  <c r="H27" i="3" s="1"/>
  <c r="Q7" i="4"/>
  <c r="R7" i="4" s="1"/>
  <c r="D16" i="4"/>
  <c r="R16" i="4" s="1"/>
  <c r="O29" i="4"/>
  <c r="O28" i="4" s="1"/>
  <c r="L6" i="5"/>
  <c r="L5" i="5" s="1"/>
  <c r="Q13" i="5"/>
  <c r="R13" i="5" s="1"/>
  <c r="AF13" i="5" s="1"/>
  <c r="J30" i="5"/>
  <c r="J29" i="5" s="1"/>
  <c r="Q13" i="2"/>
  <c r="E28" i="3"/>
  <c r="E27" i="3" s="1"/>
  <c r="K27" i="2"/>
  <c r="K26" i="2" s="1"/>
  <c r="Q34" i="2"/>
  <c r="Q13" i="1"/>
  <c r="R13" i="1" s="1"/>
  <c r="E6" i="3"/>
  <c r="E5" i="3" s="1"/>
  <c r="O12" i="3"/>
  <c r="O10" i="3" s="1"/>
  <c r="O6" i="3" s="1"/>
  <c r="O5" i="3" s="1"/>
  <c r="L6" i="4"/>
  <c r="L5" i="4" s="1"/>
  <c r="N29" i="4"/>
  <c r="N28" i="4" s="1"/>
  <c r="G6" i="5"/>
  <c r="G5" i="5" s="1"/>
  <c r="R8" i="5"/>
  <c r="AF8" i="5" s="1"/>
  <c r="I35" i="2"/>
  <c r="J35" i="2" s="1"/>
  <c r="K35" i="2" s="1"/>
  <c r="L35" i="2" s="1"/>
  <c r="M35" i="2" s="1"/>
  <c r="N35" i="2" s="1"/>
  <c r="O35" i="2" s="1"/>
  <c r="R9" i="3"/>
  <c r="Q40" i="5"/>
  <c r="R40" i="5" s="1"/>
  <c r="C38" i="3"/>
  <c r="D38" i="3" s="1"/>
  <c r="H6" i="5"/>
  <c r="H5" i="5" s="1"/>
  <c r="F30" i="5"/>
  <c r="F29" i="5" s="1"/>
  <c r="P22" i="2"/>
  <c r="P20" i="1"/>
  <c r="P18" i="2"/>
  <c r="Q19" i="2"/>
  <c r="Q16" i="2"/>
  <c r="D16" i="5"/>
  <c r="D14" i="5"/>
  <c r="E14" i="5" s="1"/>
  <c r="F14" i="5" s="1"/>
  <c r="G14" i="5" s="1"/>
  <c r="H14" i="5" s="1"/>
  <c r="I14" i="5" s="1"/>
  <c r="J14" i="5" s="1"/>
  <c r="K14" i="5" s="1"/>
  <c r="L14" i="5" s="1"/>
  <c r="M14" i="5" s="1"/>
  <c r="N14" i="5" s="1"/>
  <c r="O14" i="5" s="1"/>
  <c r="P14" i="5" s="1"/>
  <c r="Q14" i="5" s="1"/>
  <c r="R14" i="5" s="1"/>
  <c r="S14" i="5" s="1"/>
  <c r="T14" i="5" s="1"/>
  <c r="U14" i="5" s="1"/>
  <c r="P19" i="3"/>
  <c r="Q38" i="1"/>
  <c r="Q37" i="2"/>
  <c r="L11" i="1"/>
  <c r="D7" i="1"/>
  <c r="D6" i="1" s="1"/>
  <c r="D5" i="1" s="1"/>
  <c r="K16" i="3"/>
  <c r="Q16" i="3" s="1"/>
  <c r="Q31" i="5"/>
  <c r="R31" i="5" s="1"/>
  <c r="AF31" i="5" s="1"/>
  <c r="R33" i="5"/>
  <c r="AF33" i="5" s="1"/>
  <c r="AH33" i="5" s="1"/>
  <c r="O6" i="5"/>
  <c r="O5" i="5" s="1"/>
  <c r="H21" i="1"/>
  <c r="P12" i="2"/>
  <c r="P10" i="2" s="1"/>
  <c r="P6" i="2" s="1"/>
  <c r="P5" i="2" s="1"/>
  <c r="P12" i="4"/>
  <c r="P10" i="4" s="1"/>
  <c r="P6" i="4" s="1"/>
  <c r="P5" i="4" s="1"/>
  <c r="Q15" i="4"/>
  <c r="R15" i="4" s="1"/>
  <c r="J6" i="5"/>
  <c r="J5" i="5" s="1"/>
  <c r="N6" i="5"/>
  <c r="N5" i="5" s="1"/>
  <c r="Q34" i="5"/>
  <c r="R34" i="5" s="1"/>
  <c r="R35" i="5"/>
  <c r="D7" i="2"/>
  <c r="D6" i="2" s="1"/>
  <c r="D5" i="2" s="1"/>
  <c r="Q36" i="2"/>
  <c r="O16" i="1"/>
  <c r="Q16" i="1" s="1"/>
  <c r="R16" i="1" s="1"/>
  <c r="Q37" i="3"/>
  <c r="R8" i="4"/>
  <c r="E14" i="4"/>
  <c r="F14" i="4" s="1"/>
  <c r="G14" i="4" s="1"/>
  <c r="H14" i="4" s="1"/>
  <c r="I14" i="4" s="1"/>
  <c r="J14" i="4" s="1"/>
  <c r="K14" i="4" s="1"/>
  <c r="L14" i="4" s="1"/>
  <c r="M14" i="4" s="1"/>
  <c r="N14" i="4" s="1"/>
  <c r="O14" i="4" s="1"/>
  <c r="P14" i="4" s="1"/>
  <c r="Q14" i="4" s="1"/>
  <c r="R14" i="4" s="1"/>
  <c r="R12" i="5"/>
  <c r="K6" i="5"/>
  <c r="K5" i="5" s="1"/>
  <c r="O30" i="5"/>
  <c r="O29" i="5" s="1"/>
  <c r="C38" i="1"/>
  <c r="D38" i="1" s="1"/>
  <c r="I19" i="2"/>
  <c r="P12" i="3"/>
  <c r="P10" i="3" s="1"/>
  <c r="P6" i="3" s="1"/>
  <c r="P5" i="3" s="1"/>
  <c r="AG32" i="5"/>
  <c r="AG31" i="5" s="1"/>
  <c r="O12" i="2"/>
  <c r="Q39" i="5"/>
  <c r="R39" i="5" s="1"/>
  <c r="P30" i="5"/>
  <c r="P29" i="5" s="1"/>
  <c r="Q13" i="3"/>
  <c r="R13" i="3" s="1"/>
  <c r="L30" i="5"/>
  <c r="L29" i="5" s="1"/>
  <c r="Q15" i="2"/>
  <c r="Q37" i="1"/>
  <c r="N30" i="5"/>
  <c r="N29" i="5" s="1"/>
  <c r="H21" i="5"/>
  <c r="U34" i="5"/>
  <c r="U30" i="5" s="1"/>
  <c r="U29" i="5" s="1"/>
  <c r="Q16" i="5"/>
  <c r="P6" i="5"/>
  <c r="P5" i="5" s="1"/>
  <c r="Q10" i="5"/>
  <c r="R10" i="5" s="1"/>
  <c r="R11" i="5"/>
  <c r="Q7" i="5"/>
  <c r="D6" i="3" l="1"/>
  <c r="D5" i="3" s="1"/>
  <c r="P35" i="2"/>
  <c r="Q35" i="2" s="1"/>
  <c r="R15" i="3"/>
  <c r="Q20" i="3"/>
  <c r="P36" i="1"/>
  <c r="Q36" i="1" s="1"/>
  <c r="R16" i="5"/>
  <c r="Q20" i="4"/>
  <c r="Q12" i="3"/>
  <c r="R12" i="3" s="1"/>
  <c r="R16" i="3"/>
  <c r="Q30" i="5"/>
  <c r="Q29" i="5" s="1"/>
  <c r="R29" i="5" s="1"/>
  <c r="AH32" i="5"/>
  <c r="Q12" i="4"/>
  <c r="AH31" i="5"/>
  <c r="P12" i="1"/>
  <c r="P19" i="1"/>
  <c r="Q22" i="2"/>
  <c r="P21" i="2"/>
  <c r="L10" i="1"/>
  <c r="L6" i="1" s="1"/>
  <c r="L5" i="1" s="1"/>
  <c r="Q11" i="1"/>
  <c r="AF39" i="5"/>
  <c r="AH39" i="5" s="1"/>
  <c r="AH42" i="5" s="1"/>
  <c r="O10" i="2"/>
  <c r="O6" i="2" s="1"/>
  <c r="O5" i="2" s="1"/>
  <c r="Q12" i="2"/>
  <c r="Q10" i="2" s="1"/>
  <c r="Q6" i="2" s="1"/>
  <c r="Q5" i="2" s="1"/>
  <c r="T48" i="5"/>
  <c r="V11" i="5"/>
  <c r="S26" i="5"/>
  <c r="R7" i="1"/>
  <c r="Q20" i="5"/>
  <c r="S17" i="5"/>
  <c r="AE38" i="5"/>
  <c r="AF38" i="5" s="1"/>
  <c r="W34" i="5"/>
  <c r="W30" i="5" s="1"/>
  <c r="W29" i="5" s="1"/>
  <c r="X34" i="5"/>
  <c r="X30" i="5" s="1"/>
  <c r="X29" i="5" s="1"/>
  <c r="W41" i="5"/>
  <c r="R7" i="5"/>
  <c r="AF7" i="5" s="1"/>
  <c r="Q6" i="5"/>
  <c r="R30" i="5" l="1"/>
  <c r="Q10" i="3"/>
  <c r="R10" i="3"/>
  <c r="Q6" i="3"/>
  <c r="P10" i="1"/>
  <c r="P6" i="1" s="1"/>
  <c r="P5" i="1" s="1"/>
  <c r="Q12" i="1"/>
  <c r="R12" i="1" s="1"/>
  <c r="R11" i="1"/>
  <c r="Q20" i="1" s="1"/>
  <c r="Y35" i="5"/>
  <c r="T49" i="5"/>
  <c r="R12" i="4"/>
  <c r="Q10" i="4"/>
  <c r="T17" i="5"/>
  <c r="T16" i="5" s="1"/>
  <c r="T12" i="5" s="1"/>
  <c r="T10" i="5" s="1"/>
  <c r="T6" i="5" s="1"/>
  <c r="T5" i="5" s="1"/>
  <c r="S16" i="5"/>
  <c r="AG38" i="5"/>
  <c r="AH38" i="5" s="1"/>
  <c r="X41" i="5"/>
  <c r="V34" i="5"/>
  <c r="V30" i="5" s="1"/>
  <c r="V29" i="5" s="1"/>
  <c r="Q5" i="5"/>
  <c r="R5" i="5" s="1"/>
  <c r="R6" i="5"/>
  <c r="AE35" i="5" l="1"/>
  <c r="AF35" i="5" s="1"/>
  <c r="AH35" i="5" s="1"/>
  <c r="Y45" i="5"/>
  <c r="Y46" i="5" s="1"/>
  <c r="Y41" i="5" s="1"/>
  <c r="Q10" i="1"/>
  <c r="U26" i="5"/>
  <c r="U17" i="5" s="1"/>
  <c r="U16" i="5" s="1"/>
  <c r="R10" i="4"/>
  <c r="Q6" i="4"/>
  <c r="Q5" i="3"/>
  <c r="R5" i="3" s="1"/>
  <c r="R6" i="3"/>
  <c r="S12" i="5"/>
  <c r="S10" i="5" s="1"/>
  <c r="S6" i="5" s="1"/>
  <c r="S5" i="5" s="1"/>
  <c r="AE11" i="5"/>
  <c r="AF11" i="5" s="1"/>
  <c r="V26" i="5" l="1"/>
  <c r="V17" i="5" s="1"/>
  <c r="U12" i="5"/>
  <c r="U10" i="5" s="1"/>
  <c r="U6" i="5" s="1"/>
  <c r="U5" i="5" s="1"/>
  <c r="Q6" i="1"/>
  <c r="R10" i="1"/>
  <c r="R6" i="4"/>
  <c r="Q5" i="4"/>
  <c r="R5" i="4" s="1"/>
  <c r="Y40" i="5"/>
  <c r="Y36" i="5" s="1"/>
  <c r="Y34" i="5" s="1"/>
  <c r="Y30" i="5" s="1"/>
  <c r="Y29" i="5" s="1"/>
  <c r="Z41" i="5"/>
  <c r="Q5" i="1" l="1"/>
  <c r="R5" i="1" s="1"/>
  <c r="R6" i="1"/>
  <c r="Z40" i="5"/>
  <c r="Z36" i="5" s="1"/>
  <c r="Z34" i="5" s="1"/>
  <c r="Z30" i="5" s="1"/>
  <c r="Z29" i="5" s="1"/>
  <c r="AA41" i="5"/>
  <c r="W17" i="5"/>
  <c r="X17" i="5" s="1"/>
  <c r="Y17" i="5" s="1"/>
  <c r="Z17" i="5" s="1"/>
  <c r="AA17" i="5" s="1"/>
  <c r="AB17" i="5" s="1"/>
  <c r="V16" i="5"/>
  <c r="AB16" i="5"/>
  <c r="AB12" i="5" s="1"/>
  <c r="AB10" i="5" s="1"/>
  <c r="AB6" i="5" s="1"/>
  <c r="AB5" i="5" s="1"/>
  <c r="W16" i="5"/>
  <c r="W12" i="5" s="1"/>
  <c r="W10" i="5" s="1"/>
  <c r="W6" i="5" s="1"/>
  <c r="W5" i="5" s="1"/>
  <c r="Y16" i="5"/>
  <c r="Y12" i="5" s="1"/>
  <c r="Y10" i="5" s="1"/>
  <c r="Y6" i="5" s="1"/>
  <c r="Y5" i="5" s="1"/>
  <c r="X16" i="5"/>
  <c r="X12" i="5" s="1"/>
  <c r="X10" i="5" s="1"/>
  <c r="X6" i="5" s="1"/>
  <c r="X5" i="5" s="1"/>
  <c r="Z16" i="5"/>
  <c r="Z12" i="5" s="1"/>
  <c r="Z10" i="5" s="1"/>
  <c r="Z6" i="5" s="1"/>
  <c r="Z5" i="5" s="1"/>
  <c r="AA16" i="5"/>
  <c r="AA12" i="5" s="1"/>
  <c r="AA10" i="5" s="1"/>
  <c r="AA6" i="5" s="1"/>
  <c r="AA5" i="5" s="1"/>
  <c r="AA40" i="5" l="1"/>
  <c r="AB41" i="5"/>
  <c r="AB40" i="5" s="1"/>
  <c r="AB36" i="5" s="1"/>
  <c r="AB34" i="5" s="1"/>
  <c r="AB30" i="5" s="1"/>
  <c r="AB29" i="5" s="1"/>
  <c r="V12" i="5"/>
  <c r="V10" i="5" s="1"/>
  <c r="V6" i="5" s="1"/>
  <c r="V5" i="5" s="1"/>
  <c r="AE16" i="5"/>
  <c r="AF16" i="5" s="1"/>
  <c r="AE12" i="5"/>
  <c r="AF12" i="5" s="1"/>
  <c r="AA36" i="5" l="1"/>
  <c r="AA34" i="5" s="1"/>
  <c r="AA30" i="5" s="1"/>
  <c r="AA29" i="5" s="1"/>
  <c r="AC45" i="5"/>
  <c r="AF18" i="5"/>
  <c r="AG16" i="5"/>
  <c r="AE10" i="5"/>
  <c r="AF10" i="5" s="1"/>
  <c r="AC46" i="5" l="1"/>
  <c r="AC48" i="5"/>
  <c r="AE6" i="5"/>
  <c r="AE5" i="5" s="1"/>
  <c r="AF5" i="5" s="1"/>
  <c r="AF17" i="5"/>
  <c r="V14" i="5"/>
  <c r="W14" i="5" s="1"/>
  <c r="X14" i="5" s="1"/>
  <c r="Y14" i="5" s="1"/>
  <c r="Z14" i="5" s="1"/>
  <c r="AC41" i="5" l="1"/>
  <c r="AC40" i="5" s="1"/>
  <c r="AD41" i="5"/>
  <c r="AA14" i="5"/>
  <c r="AB14" i="5" s="1"/>
  <c r="AC14" i="5" s="1"/>
  <c r="AD14" i="5" s="1"/>
  <c r="AE14" i="5" s="1"/>
  <c r="AF14" i="5" s="1"/>
  <c r="AF6" i="5"/>
  <c r="AG41" i="5" l="1"/>
  <c r="AG40" i="5"/>
  <c r="AG36" i="5" s="1"/>
  <c r="AG34" i="5" s="1"/>
  <c r="AG30" i="5" s="1"/>
  <c r="AG29" i="5" s="1"/>
  <c r="AD40" i="5"/>
  <c r="AD36" i="5" s="1"/>
  <c r="AD34" i="5" s="1"/>
  <c r="AD30" i="5" s="1"/>
  <c r="AD29" i="5" s="1"/>
  <c r="AC36" i="5"/>
  <c r="AE40" i="5"/>
  <c r="AF40" i="5" s="1"/>
  <c r="AH40" i="5" s="1"/>
  <c r="AC34" i="5" l="1"/>
  <c r="AC30" i="5" s="1"/>
  <c r="AC29" i="5" s="1"/>
  <c r="AE36" i="5"/>
  <c r="AE34" i="5" l="1"/>
  <c r="AF36" i="5"/>
  <c r="AH36" i="5" s="1"/>
  <c r="AF34" i="5" l="1"/>
  <c r="AH34" i="5" s="1"/>
  <c r="AE30" i="5"/>
  <c r="AE29" i="5" l="1"/>
  <c r="AF29" i="5" s="1"/>
  <c r="AH29" i="5" s="1"/>
  <c r="AF30" i="5"/>
  <c r="AH30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Анна Ловцова</author>
  </authors>
  <commentList>
    <comment ref="D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Анна Ловцова:</t>
        </r>
        <r>
          <rPr>
            <sz val="9"/>
            <color indexed="81"/>
            <rFont val="Tahoma"/>
            <family val="2"/>
            <charset val="204"/>
          </rPr>
          <t xml:space="preserve">
на 01.05.21г. погашен</t>
        </r>
      </text>
    </comment>
    <comment ref="L11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Анна Ловцова: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>остаток 30% аванса после выхода из ГГЭ  (сумма контракта 20,9 млрд.руб.)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Анна Ловцова</author>
  </authors>
  <commentList>
    <comment ref="D8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Анна Ловцова:</t>
        </r>
        <r>
          <rPr>
            <sz val="9"/>
            <color indexed="81"/>
            <rFont val="Tahoma"/>
            <family val="2"/>
            <charset val="204"/>
          </rPr>
          <t xml:space="preserve">
на 01.05.21г. погашен</t>
        </r>
      </text>
    </comment>
    <comment ref="H11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>Анна Ловцова:</t>
        </r>
        <r>
          <rPr>
            <sz val="9"/>
            <color indexed="81"/>
            <rFont val="Tahoma"/>
            <family val="2"/>
            <charset val="204"/>
          </rPr>
          <t xml:space="preserve">
Поступил двумя платежами (23 и 27 апреля)
</t>
        </r>
      </text>
    </comment>
    <comment ref="J11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Анна Ловцова:
</t>
        </r>
        <r>
          <rPr>
            <sz val="9"/>
            <color indexed="81"/>
            <rFont val="Tahoma"/>
            <family val="2"/>
            <charset val="204"/>
          </rPr>
          <t>Остаток от 30% аванса (сумма по договру 20,9 млрд.руб.)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3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Анна Ловцова:</t>
        </r>
        <r>
          <rPr>
            <sz val="9"/>
            <color indexed="81"/>
            <rFont val="Tahoma"/>
            <family val="2"/>
            <charset val="204"/>
          </rPr>
          <t xml:space="preserve">
поступили 24.05.21г.
</t>
        </r>
      </text>
    </comment>
    <comment ref="I33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04"/>
          </rPr>
          <t>Анна Ловцова:</t>
        </r>
        <r>
          <rPr>
            <sz val="9"/>
            <color indexed="81"/>
            <rFont val="Tahoma"/>
            <family val="2"/>
            <charset val="204"/>
          </rPr>
          <t xml:space="preserve">
остаток от заявленных 1736 000
</t>
        </r>
      </text>
    </comment>
  </commentList>
</comments>
</file>

<file path=xl/sharedStrings.xml><?xml version="1.0" encoding="utf-8"?>
<sst xmlns="http://schemas.openxmlformats.org/spreadsheetml/2006/main" count="549" uniqueCount="156">
  <si>
    <t xml:space="preserve">План финансирования на 2021 год </t>
  </si>
  <si>
    <t xml:space="preserve"> руб. с НДС</t>
  </si>
  <si>
    <t>Наименование статьи Финансового плана</t>
  </si>
  <si>
    <t>2020 год</t>
  </si>
  <si>
    <t>ноябрь</t>
  </si>
  <si>
    <t>декабрь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</si>
  <si>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</si>
  <si>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</si>
  <si>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</si>
  <si>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</si>
  <si>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</si>
  <si>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</si>
  <si>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</si>
  <si>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</si>
  <si>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</si>
  <si>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</si>
  <si>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</si>
  <si>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Скоростная автомобильная дорога Москва - Нижний Новгород - Казань, входящая в состав международного транспортного маршрута  «Европа – Западный Китай»</t>
  </si>
  <si>
    <t xml:space="preserve">М-12 "Строящаяся скоростная автомобильная дорога Москва - Нижний Новгород - Казань" 0 этап пусковой комплекс №1 </t>
  </si>
  <si>
    <t>Проектирование</t>
  </si>
  <si>
    <t xml:space="preserve">Аванс </t>
  </si>
  <si>
    <t>Оплата выполненных работ</t>
  </si>
  <si>
    <t>Строительство</t>
  </si>
  <si>
    <r>
      <t xml:space="preserve">Оплата выполненных работ </t>
    </r>
    <r>
      <rPr>
        <sz val="10"/>
        <color rgb="FFFF0000"/>
        <rFont val="Times New Roman"/>
        <family val="1"/>
        <charset val="204"/>
      </rPr>
      <t>(через 30 дней)</t>
    </r>
  </si>
  <si>
    <t>Справочно выполнение за месяц (ориент)</t>
  </si>
  <si>
    <t>Справочно НЗП с нарастающим итогом</t>
  </si>
  <si>
    <t>сумма кс-2 (с учетом ПИР)в руб.</t>
  </si>
  <si>
    <t>погашение аванса</t>
  </si>
  <si>
    <t>ПК 1</t>
  </si>
  <si>
    <t xml:space="preserve">М-12 "Строящаяся скоростная автомобильная дорога Москва - Нижний Новгород - Казань" 0 этап пусковой № 2 </t>
  </si>
  <si>
    <t>Справочно выполнение за месяц с ПИР/год (ориент)</t>
  </si>
  <si>
    <t>ПК 2</t>
  </si>
  <si>
    <t xml:space="preserve">Стоимость контракта </t>
  </si>
  <si>
    <t>аванс 30%</t>
  </si>
  <si>
    <t>стоимость работ субподряда</t>
  </si>
  <si>
    <t>в т.ч прямые затраты</t>
  </si>
  <si>
    <t>тыс.руб. с НДС</t>
  </si>
  <si>
    <t>ВСЕГО</t>
  </si>
  <si>
    <t>21г.</t>
  </si>
  <si>
    <t>22г.</t>
  </si>
  <si>
    <t>себестоимость работ с.с.</t>
  </si>
  <si>
    <t>итого за счет казначейчкого счета</t>
  </si>
  <si>
    <t>22 год</t>
  </si>
  <si>
    <t>в т.ч ЭМиМ+Мат</t>
  </si>
  <si>
    <t>Итого 20-21 год</t>
  </si>
  <si>
    <t>Справочно выполнение за месяц (заявлено в ГК)</t>
  </si>
  <si>
    <t>в т.ч прямые затраты (ЗП, ЭМиМ, Мат)</t>
  </si>
  <si>
    <t>21 год</t>
  </si>
  <si>
    <t>Договор от 03.11.2020г. № ДСиР-2020-1331</t>
  </si>
  <si>
    <t xml:space="preserve">Справочно выполнение за месяц </t>
  </si>
  <si>
    <t>Договор от 03.03.2021г. № ДМ-2021-307</t>
  </si>
  <si>
    <t>Генеральный директор</t>
  </si>
  <si>
    <t>В.В. Монастырев</t>
  </si>
  <si>
    <t xml:space="preserve">Оплата выполненных работ </t>
  </si>
  <si>
    <t>Итого 20-23 год</t>
  </si>
  <si>
    <t xml:space="preserve">% погашения аванса </t>
  </si>
  <si>
    <t>Итого 20-22 год</t>
  </si>
  <si>
    <t>23 год</t>
  </si>
  <si>
    <t>СМР</t>
  </si>
  <si>
    <t>ПИР</t>
  </si>
  <si>
    <t>Аванс</t>
  </si>
  <si>
    <t>аванс</t>
  </si>
  <si>
    <t xml:space="preserve">Генеральный директор </t>
  </si>
  <si>
    <t xml:space="preserve">График финансирования на 2022 год </t>
  </si>
  <si>
    <t>январь (ст-ст  20,9 млрд.руб)</t>
  </si>
  <si>
    <t>февраль (ст-ть 20,9 млрд.руб.)</t>
  </si>
  <si>
    <t>март (ст-ть 28,4 млрд.руб.)</t>
  </si>
  <si>
    <t>_</t>
  </si>
  <si>
    <t>Единицы</t>
  </si>
  <si>
    <t>Этап</t>
  </si>
  <si>
    <t>Контрагент</t>
  </si>
  <si>
    <t>Договор</t>
  </si>
  <si>
    <t>"Казань-Екатеринбург на участке Дюртюли-Ачит" 1 этап</t>
  </si>
  <si>
    <t>"Казань-Екатеринбург на участке Дюртюли-Ачит" 2 этап</t>
  </si>
  <si>
    <t>"Казань-Екатеринбург на участке Дюртюли-Ачит" 3 этап</t>
  </si>
  <si>
    <t>Год планирования</t>
  </si>
  <si>
    <t>Квартал планирования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</si>
  <si>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</si>
  <si>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</si>
  <si>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</si>
  <si>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</si>
  <si>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</si>
  <si>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</si>
  <si>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</si>
  <si>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</si>
  <si>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</si>
  <si>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</si>
  <si>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</si>
  <si>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</si>
  <si>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 квартал</t>
  </si>
  <si>
    <t>II квартал</t>
  </si>
  <si>
    <t>III квартал</t>
  </si>
  <si>
    <t>IV квартал</t>
  </si>
  <si>
    <t>Полугодие планирования</t>
  </si>
  <si>
    <t>I полугодие</t>
  </si>
  <si>
    <t>II полугодие</t>
  </si>
  <si>
    <t>-</t>
  </si>
  <si>
    <t>Месяц планирования (начало)</t>
  </si>
  <si>
    <t>Месяц планирования (конец)</t>
  </si>
  <si>
    <t>М-12 "Москва - Нижний Новгород - Казань" 0 этап пусковой комплекс №2</t>
  </si>
  <si>
    <t xml:space="preserve">М-12 "Москва - Нижний Новгород - Казань" 0 этап пусковой комплекс №1 </t>
  </si>
  <si>
    <t>М-12 "Москва - Нижний Новгород - Казань" 1 этап</t>
  </si>
  <si>
    <t>М-12 "Москва - Нижний Новгород - Казань" 2 этап</t>
  </si>
  <si>
    <t>М-12 "Москва - Нижний Новгород - Казань" 3 этап</t>
  </si>
  <si>
    <t>М-12 "Москва - Нижний Новгород - Казань" 4 этап</t>
  </si>
  <si>
    <t>М-12 "Москва - Нижний Новгород - Казань" 5 этап</t>
  </si>
  <si>
    <t>М-12 "Москва - Нижний Новгород - Казань" 6 этап</t>
  </si>
  <si>
    <t>М-12 "Москва - Нижний Новгород - Казань" 7 этап</t>
  </si>
  <si>
    <t>М-12 "Москва - Нижний Новгород - Казань" 8 этап</t>
  </si>
  <si>
    <t>М-12 "Москва - Нижний Новгород - Казань" Шали-Бавлы</t>
  </si>
  <si>
    <t>ООО "Трансстроймеханизация"</t>
  </si>
  <si>
    <t>АО "ДиМ"</t>
  </si>
  <si>
    <t>АО "Стройтрансгаз"</t>
  </si>
  <si>
    <t>ООО "Региональная строительная компания"</t>
  </si>
  <si>
    <t>АО "ВАД"</t>
  </si>
  <si>
    <t>АО "ДСК "Автобан"</t>
  </si>
  <si>
    <t>ООО "СиАрСиСи Рус"</t>
  </si>
  <si>
    <t>ООО "Строительная компания "Автодор"</t>
  </si>
  <si>
    <t>ЦУП-2017-1680_ДИМ</t>
  </si>
  <si>
    <t>ДСиР-2020-1331</t>
  </si>
  <si>
    <t>ДМ12-2021-307</t>
  </si>
  <si>
    <t>ДСиР-2020-1160</t>
  </si>
  <si>
    <t>ДСиР-2020-1153</t>
  </si>
  <si>
    <t>ДСиР-2020-1151</t>
  </si>
  <si>
    <t>ДСиР-2020-1161</t>
  </si>
  <si>
    <t>ДСиР-2020-1152</t>
  </si>
  <si>
    <t>ДСиР-2020-1162</t>
  </si>
  <si>
    <t>ДСиР-2020-1302</t>
  </si>
  <si>
    <t>ДСиР-2020-1163</t>
  </si>
  <si>
    <t>Статья финансового плана</t>
  </si>
  <si>
    <t>Руб.</t>
  </si>
  <si>
    <t>Тыс. руб.</t>
  </si>
  <si>
    <t>Млн. руб.</t>
  </si>
  <si>
    <t>М-12 "Москва - Нижний Новгород - Казань" 0 этап Подготовка территории</t>
  </si>
  <si>
    <t>НЗП нарастающим итогом</t>
  </si>
  <si>
    <t>в том числе погашение аванса</t>
  </si>
  <si>
    <t>Выполнение за месяц (физ. объемы)</t>
  </si>
  <si>
    <t>Закрытие выполнения (КС-2)</t>
  </si>
  <si>
    <t>Оплата выполненных работ (ПИР)</t>
  </si>
  <si>
    <t>Оплата выполненных работ (СМР)</t>
  </si>
  <si>
    <t>2023 год</t>
  </si>
  <si>
    <t>Значение на 31.12.2022г.</t>
  </si>
  <si>
    <t>Дебиторская задолженность на конец месяца</t>
  </si>
  <si>
    <t>в т.ч. cредства федерального бюджета</t>
  </si>
  <si>
    <t>в т.ч. внебюджетное финансирование</t>
  </si>
  <si>
    <t>ФОРМА СПРАВКИ О ФАКТИЧЕСКОМ И ОЖИДАЕМОМ ВЫПОЛНЕНИИ РАБОТ, А ТАКЖЕ О ФАКТИЧЕСКОЙ И ОЖИДАЕМОЙ ОПЛАТЕ ПО ДОГОВОРУ</t>
  </si>
  <si>
    <t>Подписи сторон:</t>
  </si>
  <si>
    <t>Подрядчик</t>
  </si>
  <si>
    <t>Гарантийные удержания</t>
  </si>
  <si>
    <t>Субподрядчик</t>
  </si>
  <si>
    <t xml:space="preserve">Генеральный директор
</t>
  </si>
  <si>
    <t xml:space="preserve">Приложение  №22
</t>
  </si>
  <si>
    <t>____________ Шайдуллин Р.Ф.</t>
  </si>
  <si>
    <t>м.п.</t>
  </si>
  <si>
    <t>ООО "СК "Автодор"</t>
  </si>
  <si>
    <t>к Договору № ___________ от "_____"_______________2024г.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</si>
</sst>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_₽_-;\-* #,##0.00\ _₽_-;_-* &quot;-&quot;??\ _₽_-;_-@_-"/>
    <numFmt numFmtId="165" formatCode="#,##0.0;\-#,##0.0;\-"/>
    <numFmt numFmtId="166" formatCode="#,##0;\-#,##0;\-"/>
    <numFmt numFmtId="167" formatCode="#,##0.0_ ;\-#,##0.0\ "/>
    <numFmt numFmtId="168" formatCode="_-* #,##0\ _₽_-;\-* #,##0\ _₽_-;_-* &quot;-&quot;??\ _₽_-;_-@_-"/>
    <numFmt numFmtId="169" formatCode="_-* #,##0.0\ _₽_-;\-* #,##0.0\ _₽_-;_-* &quot;-&quot;?\ _₽_-;_-@_-"/>
    <numFmt numFmtId="170" formatCode="0.00000%"/>
    <numFmt numFmtId="171" formatCode="0.0%"/>
    <numFmt numFmtId="172" formatCode="0.0000%"/>
    <numFmt numFmtId="173" formatCode="_-* #,##0.000\ _₽_-;\-* #,##0.000\ _₽_-;_-* &quot;-&quot;??\ _₽_-;_-@_-"/>
    <numFmt numFmtId="174" formatCode="[$-F419]yyyy\,\ mmmm;@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u/>
      <sz val="10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u/>
      <sz val="9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u/>
      <sz val="9"/>
      <color theme="1"/>
      <name val="Times New Roman"/>
      <family val="1"/>
      <charset val="204"/>
    </font>
    <font>
      <b/>
      <u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i/>
      <sz val="11"/>
      <color theme="1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name val="Verdana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35" fillId="0" borderId="0"/>
    <xf numFmtId="164" fontId="1" fillId="0" borderId="0" applyFont="0" applyFill="0" applyBorder="0" applyAlignment="0" applyProtection="0"/>
    <xf numFmtId="0" fontId="36" fillId="0" borderId="0"/>
    <xf numFmtId="0" fontId="1" fillId="0" borderId="0"/>
    <xf numFmtId="0" fontId="37" fillId="0" borderId="0"/>
    <xf numFmtId="164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0"/>
    <xf numFmtId="43" fontId="37" fillId="0" borderId="0" applyFont="0" applyFill="0" applyBorder="0" applyAlignment="0" applyProtection="0"/>
    <xf numFmtId="0" fontId="36" fillId="0" borderId="0"/>
    <xf numFmtId="0" fontId="35" fillId="0" borderId="0"/>
    <xf numFmtId="164" fontId="36" fillId="0" borderId="0" applyFont="0" applyFill="0" applyBorder="0" applyAlignment="0" applyProtection="0"/>
  </cellStyleXfs>
  <cellXfs count="20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165" fontId="5" fillId="3" borderId="1" xfId="0" applyNumberFormat="1" applyFont="1" applyFill="1" applyBorder="1" applyAlignment="1">
      <alignment vertical="center"/>
    </xf>
    <xf numFmtId="3" fontId="3" fillId="4" borderId="1" xfId="3" applyNumberFormat="1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vertical="center" wrapText="1"/>
    </xf>
    <xf numFmtId="165" fontId="3" fillId="3" borderId="1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165" fontId="5" fillId="3" borderId="1" xfId="0" applyNumberFormat="1" applyFont="1" applyFill="1" applyBorder="1" applyAlignment="1">
      <alignment vertical="center" wrapText="1"/>
    </xf>
    <xf numFmtId="165" fontId="5" fillId="3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65" fontId="3" fillId="3" borderId="1" xfId="0" applyNumberFormat="1" applyFont="1" applyFill="1" applyBorder="1" applyAlignment="1" applyProtection="1">
      <alignment vertical="center" wrapText="1"/>
      <protection locked="0"/>
    </xf>
    <xf numFmtId="0" fontId="8" fillId="5" borderId="1" xfId="0" applyFont="1" applyFill="1" applyBorder="1" applyAlignment="1">
      <alignment horizontal="right" vertical="center"/>
    </xf>
    <xf numFmtId="165" fontId="9" fillId="5" borderId="1" xfId="0" applyNumberFormat="1" applyFont="1" applyFill="1" applyBorder="1" applyAlignment="1">
      <alignment vertical="center" wrapText="1"/>
    </xf>
    <xf numFmtId="165" fontId="9" fillId="5" borderId="1" xfId="0" applyNumberFormat="1" applyFont="1" applyFill="1" applyBorder="1" applyAlignment="1" applyProtection="1">
      <alignment vertical="center" wrapText="1"/>
      <protection locked="0"/>
    </xf>
    <xf numFmtId="0" fontId="10" fillId="6" borderId="1" xfId="0" applyFont="1" applyFill="1" applyBorder="1" applyAlignment="1">
      <alignment horizontal="right" vertical="center"/>
    </xf>
    <xf numFmtId="165" fontId="10" fillId="6" borderId="1" xfId="0" applyNumberFormat="1" applyFont="1" applyFill="1" applyBorder="1" applyAlignment="1">
      <alignment vertical="center" wrapText="1"/>
    </xf>
    <xf numFmtId="165" fontId="10" fillId="6" borderId="1" xfId="0" applyNumberFormat="1" applyFont="1" applyFill="1" applyBorder="1" applyAlignment="1" applyProtection="1">
      <alignment vertical="center" wrapText="1"/>
      <protection locked="0"/>
    </xf>
    <xf numFmtId="0" fontId="6" fillId="6" borderId="1" xfId="0" applyFont="1" applyFill="1" applyBorder="1" applyAlignment="1">
      <alignment horizontal="right" vertical="center"/>
    </xf>
    <xf numFmtId="165" fontId="6" fillId="6" borderId="1" xfId="0" applyNumberFormat="1" applyFont="1" applyFill="1" applyBorder="1" applyAlignment="1">
      <alignment vertical="center" wrapText="1"/>
    </xf>
    <xf numFmtId="165" fontId="6" fillId="6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165" fontId="6" fillId="0" borderId="0" xfId="0" applyNumberFormat="1" applyFont="1" applyAlignment="1">
      <alignment vertical="center" wrapText="1"/>
    </xf>
    <xf numFmtId="165" fontId="6" fillId="0" borderId="0" xfId="0" applyNumberFormat="1" applyFont="1" applyAlignment="1" applyProtection="1">
      <alignment vertical="center" wrapText="1"/>
      <protection locked="0"/>
    </xf>
    <xf numFmtId="0" fontId="11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 wrapText="1"/>
    </xf>
    <xf numFmtId="3" fontId="14" fillId="4" borderId="1" xfId="3" applyNumberFormat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5" fillId="5" borderId="1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vertical="center"/>
    </xf>
    <xf numFmtId="166" fontId="13" fillId="3" borderId="1" xfId="0" applyNumberFormat="1" applyFont="1" applyFill="1" applyBorder="1" applyAlignment="1">
      <alignment vertical="center"/>
    </xf>
    <xf numFmtId="165" fontId="14" fillId="0" borderId="1" xfId="0" applyNumberFormat="1" applyFont="1" applyBorder="1" applyAlignment="1">
      <alignment vertical="center" wrapText="1"/>
    </xf>
    <xf numFmtId="166" fontId="14" fillId="0" borderId="1" xfId="0" applyNumberFormat="1" applyFont="1" applyBorder="1" applyAlignment="1">
      <alignment vertical="center" wrapText="1"/>
    </xf>
    <xf numFmtId="165" fontId="13" fillId="3" borderId="1" xfId="0" applyNumberFormat="1" applyFont="1" applyFill="1" applyBorder="1" applyAlignment="1">
      <alignment vertical="center" wrapText="1"/>
    </xf>
    <xf numFmtId="166" fontId="13" fillId="3" borderId="1" xfId="0" applyNumberFormat="1" applyFont="1" applyFill="1" applyBorder="1" applyAlignment="1">
      <alignment vertical="center" wrapText="1"/>
    </xf>
    <xf numFmtId="165" fontId="14" fillId="5" borderId="1" xfId="0" applyNumberFormat="1" applyFont="1" applyFill="1" applyBorder="1" applyAlignment="1">
      <alignment vertical="center" wrapText="1"/>
    </xf>
    <xf numFmtId="166" fontId="14" fillId="5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9" fontId="6" fillId="0" borderId="0" xfId="2" applyFont="1" applyFill="1" applyBorder="1" applyAlignment="1">
      <alignment vertical="center" wrapText="1"/>
    </xf>
    <xf numFmtId="165" fontId="6" fillId="0" borderId="0" xfId="0" applyNumberFormat="1" applyFont="1" applyAlignment="1">
      <alignment horizontal="right" vertical="center" wrapText="1"/>
    </xf>
    <xf numFmtId="165" fontId="6" fillId="7" borderId="0" xfId="0" applyNumberFormat="1" applyFont="1" applyFill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165" fontId="16" fillId="0" borderId="0" xfId="0" applyNumberFormat="1" applyFont="1" applyAlignment="1">
      <alignment vertical="center" wrapText="1"/>
    </xf>
    <xf numFmtId="165" fontId="8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vertical="center" wrapText="1"/>
    </xf>
    <xf numFmtId="9" fontId="8" fillId="0" borderId="0" xfId="2" applyFont="1" applyFill="1" applyBorder="1" applyAlignment="1">
      <alignment vertical="center" wrapText="1"/>
    </xf>
    <xf numFmtId="165" fontId="6" fillId="8" borderId="0" xfId="0" applyNumberFormat="1" applyFont="1" applyFill="1" applyAlignment="1">
      <alignment vertical="center" wrapText="1"/>
    </xf>
    <xf numFmtId="165" fontId="6" fillId="8" borderId="0" xfId="0" applyNumberFormat="1" applyFont="1" applyFill="1" applyAlignment="1">
      <alignment horizontal="center" vertical="center" wrapText="1"/>
    </xf>
    <xf numFmtId="165" fontId="6" fillId="7" borderId="0" xfId="0" applyNumberFormat="1" applyFont="1" applyFill="1" applyAlignment="1">
      <alignment vertical="center" wrapText="1"/>
    </xf>
    <xf numFmtId="165" fontId="10" fillId="0" borderId="0" xfId="0" applyNumberFormat="1" applyFont="1" applyAlignment="1">
      <alignment vertical="center" wrapText="1"/>
    </xf>
    <xf numFmtId="165" fontId="6" fillId="0" borderId="0" xfId="0" applyNumberFormat="1" applyFont="1" applyAlignment="1" applyProtection="1">
      <alignment horizontal="center" vertical="center" wrapText="1"/>
      <protection locked="0"/>
    </xf>
    <xf numFmtId="165" fontId="3" fillId="7" borderId="1" xfId="0" applyNumberFormat="1" applyFont="1" applyFill="1" applyBorder="1" applyAlignment="1">
      <alignment vertical="center" wrapText="1"/>
    </xf>
    <xf numFmtId="165" fontId="3" fillId="9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right" vertical="center"/>
    </xf>
    <xf numFmtId="10" fontId="6" fillId="0" borderId="0" xfId="2" applyNumberFormat="1" applyFont="1" applyFill="1" applyBorder="1" applyAlignment="1">
      <alignment vertical="center" wrapText="1"/>
    </xf>
    <xf numFmtId="165" fontId="21" fillId="0" borderId="0" xfId="0" applyNumberFormat="1" applyFont="1" applyAlignment="1">
      <alignment vertical="center" wrapText="1"/>
    </xf>
    <xf numFmtId="165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165" fontId="10" fillId="7" borderId="0" xfId="0" applyNumberFormat="1" applyFont="1" applyFill="1" applyAlignment="1">
      <alignment vertical="center" wrapText="1"/>
    </xf>
    <xf numFmtId="0" fontId="3" fillId="0" borderId="0" xfId="0" applyFont="1" applyAlignment="1">
      <alignment horizontal="right" vertical="center"/>
    </xf>
    <xf numFmtId="165" fontId="3" fillId="0" borderId="0" xfId="0" applyNumberFormat="1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/>
    <xf numFmtId="9" fontId="13" fillId="0" borderId="0" xfId="2" applyFont="1"/>
    <xf numFmtId="164" fontId="3" fillId="0" borderId="0" xfId="1" applyFont="1" applyFill="1" applyBorder="1" applyAlignment="1">
      <alignment vertical="center" wrapText="1"/>
    </xf>
    <xf numFmtId="164" fontId="14" fillId="0" borderId="0" xfId="1" applyFont="1"/>
    <xf numFmtId="0" fontId="14" fillId="0" borderId="0" xfId="0" applyFont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right" vertical="center"/>
    </xf>
    <xf numFmtId="165" fontId="22" fillId="6" borderId="1" xfId="0" applyNumberFormat="1" applyFont="1" applyFill="1" applyBorder="1" applyAlignment="1">
      <alignment vertical="center" wrapText="1"/>
    </xf>
    <xf numFmtId="165" fontId="22" fillId="6" borderId="1" xfId="0" applyNumberFormat="1" applyFont="1" applyFill="1" applyBorder="1" applyAlignment="1" applyProtection="1">
      <alignment vertical="center" wrapText="1"/>
      <protection locked="0"/>
    </xf>
    <xf numFmtId="0" fontId="15" fillId="6" borderId="1" xfId="0" applyFont="1" applyFill="1" applyBorder="1" applyAlignment="1">
      <alignment horizontal="right" vertical="center"/>
    </xf>
    <xf numFmtId="165" fontId="15" fillId="6" borderId="1" xfId="0" applyNumberFormat="1" applyFont="1" applyFill="1" applyBorder="1" applyAlignment="1">
      <alignment vertical="center" wrapText="1"/>
    </xf>
    <xf numFmtId="165" fontId="15" fillId="6" borderId="1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Alignment="1">
      <alignment horizontal="right" vertical="center"/>
    </xf>
    <xf numFmtId="165" fontId="14" fillId="0" borderId="0" xfId="0" applyNumberFormat="1" applyFont="1" applyAlignment="1">
      <alignment vertical="center" wrapText="1"/>
    </xf>
    <xf numFmtId="165" fontId="14" fillId="0" borderId="0" xfId="0" applyNumberFormat="1" applyFont="1" applyAlignment="1">
      <alignment horizontal="center" vertical="center" wrapText="1"/>
    </xf>
    <xf numFmtId="165" fontId="23" fillId="3" borderId="1" xfId="0" applyNumberFormat="1" applyFont="1" applyFill="1" applyBorder="1" applyAlignment="1">
      <alignment vertical="center"/>
    </xf>
    <xf numFmtId="166" fontId="23" fillId="3" borderId="1" xfId="0" applyNumberFormat="1" applyFont="1" applyFill="1" applyBorder="1" applyAlignment="1">
      <alignment vertical="center"/>
    </xf>
    <xf numFmtId="165" fontId="9" fillId="0" borderId="1" xfId="0" applyNumberFormat="1" applyFont="1" applyBorder="1" applyAlignment="1">
      <alignment vertical="center" wrapText="1"/>
    </xf>
    <xf numFmtId="166" fontId="9" fillId="0" borderId="1" xfId="0" applyNumberFormat="1" applyFont="1" applyBorder="1" applyAlignment="1">
      <alignment vertical="center" wrapText="1"/>
    </xf>
    <xf numFmtId="165" fontId="23" fillId="3" borderId="1" xfId="0" applyNumberFormat="1" applyFont="1" applyFill="1" applyBorder="1" applyAlignment="1">
      <alignment vertical="center" wrapText="1"/>
    </xf>
    <xf numFmtId="166" fontId="23" fillId="3" borderId="1" xfId="0" applyNumberFormat="1" applyFont="1" applyFill="1" applyBorder="1" applyAlignment="1">
      <alignment vertical="center" wrapText="1"/>
    </xf>
    <xf numFmtId="166" fontId="9" fillId="5" borderId="1" xfId="0" applyNumberFormat="1" applyFont="1" applyFill="1" applyBorder="1" applyAlignment="1">
      <alignment vertical="center" wrapText="1"/>
    </xf>
    <xf numFmtId="165" fontId="24" fillId="6" borderId="1" xfId="0" applyNumberFormat="1" applyFont="1" applyFill="1" applyBorder="1" applyAlignment="1">
      <alignment vertical="center" wrapText="1"/>
    </xf>
    <xf numFmtId="165" fontId="24" fillId="6" borderId="1" xfId="0" applyNumberFormat="1" applyFont="1" applyFill="1" applyBorder="1" applyAlignment="1" applyProtection="1">
      <alignment vertical="center" wrapText="1"/>
      <protection locked="0"/>
    </xf>
    <xf numFmtId="165" fontId="8" fillId="6" borderId="1" xfId="0" applyNumberFormat="1" applyFont="1" applyFill="1" applyBorder="1" applyAlignment="1">
      <alignment vertical="center" wrapText="1"/>
    </xf>
    <xf numFmtId="165" fontId="8" fillId="6" borderId="1" xfId="0" applyNumberFormat="1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167" fontId="0" fillId="0" borderId="0" xfId="0" applyNumberFormat="1"/>
    <xf numFmtId="168" fontId="0" fillId="0" borderId="0" xfId="1" applyNumberFormat="1" applyFont="1"/>
    <xf numFmtId="169" fontId="0" fillId="0" borderId="0" xfId="0" applyNumberFormat="1"/>
    <xf numFmtId="167" fontId="10" fillId="6" borderId="1" xfId="0" applyNumberFormat="1" applyFont="1" applyFill="1" applyBorder="1" applyAlignment="1">
      <alignment vertical="center" wrapText="1"/>
    </xf>
    <xf numFmtId="10" fontId="16" fillId="0" borderId="0" xfId="2" applyNumberFormat="1" applyFont="1" applyFill="1" applyBorder="1" applyAlignment="1">
      <alignment vertical="center" wrapText="1"/>
    </xf>
    <xf numFmtId="10" fontId="0" fillId="0" borderId="0" xfId="2" applyNumberFormat="1" applyFont="1" applyFill="1"/>
    <xf numFmtId="10" fontId="0" fillId="0" borderId="0" xfId="0" applyNumberFormat="1"/>
    <xf numFmtId="171" fontId="0" fillId="0" borderId="0" xfId="2" applyNumberFormat="1" applyFont="1" applyFill="1"/>
    <xf numFmtId="171" fontId="0" fillId="0" borderId="0" xfId="0" applyNumberFormat="1"/>
    <xf numFmtId="0" fontId="27" fillId="0" borderId="1" xfId="0" applyFont="1" applyBorder="1" applyAlignment="1">
      <alignment horizontal="center"/>
    </xf>
    <xf numFmtId="168" fontId="27" fillId="0" borderId="1" xfId="1" applyNumberFormat="1" applyFont="1" applyBorder="1"/>
    <xf numFmtId="0" fontId="27" fillId="0" borderId="1" xfId="0" applyFont="1" applyBorder="1"/>
    <xf numFmtId="168" fontId="27" fillId="0" borderId="1" xfId="0" applyNumberFormat="1" applyFont="1" applyBorder="1"/>
    <xf numFmtId="172" fontId="0" fillId="0" borderId="0" xfId="2" applyNumberFormat="1" applyFont="1"/>
    <xf numFmtId="170" fontId="27" fillId="0" borderId="1" xfId="2" applyNumberFormat="1" applyFont="1" applyBorder="1"/>
    <xf numFmtId="173" fontId="9" fillId="5" borderId="1" xfId="1" applyNumberFormat="1" applyFont="1" applyFill="1" applyBorder="1" applyAlignment="1">
      <alignment vertical="center" wrapText="1"/>
    </xf>
    <xf numFmtId="0" fontId="28" fillId="9" borderId="1" xfId="0" applyFont="1" applyFill="1" applyBorder="1" applyAlignment="1">
      <alignment horizontal="right" vertical="center"/>
    </xf>
    <xf numFmtId="0" fontId="29" fillId="9" borderId="0" xfId="0" applyFont="1" applyFill="1"/>
    <xf numFmtId="165" fontId="30" fillId="9" borderId="1" xfId="0" applyNumberFormat="1" applyFont="1" applyFill="1" applyBorder="1" applyAlignment="1">
      <alignment vertical="center" wrapText="1"/>
    </xf>
    <xf numFmtId="166" fontId="30" fillId="9" borderId="1" xfId="0" applyNumberFormat="1" applyFont="1" applyFill="1" applyBorder="1" applyAlignment="1">
      <alignment vertical="center" wrapText="1"/>
    </xf>
    <xf numFmtId="165" fontId="30" fillId="9" borderId="1" xfId="0" applyNumberFormat="1" applyFont="1" applyFill="1" applyBorder="1" applyAlignment="1" applyProtection="1">
      <alignment vertical="center" wrapText="1"/>
      <protection locked="0"/>
    </xf>
    <xf numFmtId="164" fontId="9" fillId="0" borderId="0" xfId="1" applyFont="1"/>
    <xf numFmtId="164" fontId="0" fillId="0" borderId="0" xfId="0" applyNumberFormat="1" applyAlignment="1">
      <alignment horizontal="center" vertical="center"/>
    </xf>
    <xf numFmtId="0" fontId="27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17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10" fontId="32" fillId="0" borderId="0" xfId="0" applyNumberFormat="1" applyFont="1" applyAlignment="1">
      <alignment horizontal="center"/>
    </xf>
    <xf numFmtId="0" fontId="32" fillId="0" borderId="0" xfId="0" applyFont="1" applyAlignment="1">
      <alignment horizontal="center"/>
    </xf>
    <xf numFmtId="0" fontId="33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left" vertical="center" wrapText="1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4" fillId="0" borderId="0" xfId="0" applyFont="1" applyAlignment="1">
      <alignment horizontal="right" vertical="center"/>
    </xf>
    <xf numFmtId="3" fontId="32" fillId="0" borderId="1" xfId="0" applyNumberFormat="1" applyFont="1" applyBorder="1" applyAlignment="1">
      <alignment horizontal="center" vertical="center" wrapText="1"/>
    </xf>
    <xf numFmtId="3" fontId="33" fillId="3" borderId="1" xfId="0" applyNumberFormat="1" applyFont="1" applyFill="1" applyBorder="1" applyAlignment="1">
      <alignment horizontal="center" vertical="center"/>
    </xf>
    <xf numFmtId="3" fontId="33" fillId="3" borderId="1" xfId="0" applyNumberFormat="1" applyFont="1" applyFill="1" applyBorder="1" applyAlignment="1">
      <alignment horizontal="center" vertical="center" wrapText="1"/>
    </xf>
    <xf numFmtId="3" fontId="32" fillId="5" borderId="1" xfId="0" applyNumberFormat="1" applyFont="1" applyFill="1" applyBorder="1" applyAlignment="1">
      <alignment horizontal="center" vertical="center" wrapText="1"/>
    </xf>
    <xf numFmtId="3" fontId="32" fillId="5" borderId="1" xfId="1" applyNumberFormat="1" applyFont="1" applyFill="1" applyBorder="1" applyAlignment="1">
      <alignment horizontal="center" vertical="center" wrapText="1"/>
    </xf>
    <xf numFmtId="3" fontId="33" fillId="6" borderId="1" xfId="0" applyNumberFormat="1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right" vertical="center"/>
    </xf>
    <xf numFmtId="3" fontId="32" fillId="6" borderId="1" xfId="0" applyNumberFormat="1" applyFont="1" applyFill="1" applyBorder="1" applyAlignment="1">
      <alignment horizontal="center" vertical="center" wrapText="1"/>
    </xf>
    <xf numFmtId="3" fontId="32" fillId="0" borderId="1" xfId="3" applyNumberFormat="1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2" fillId="5" borderId="1" xfId="0" applyFont="1" applyFill="1" applyBorder="1" applyAlignment="1">
      <alignment horizontal="left" vertical="center"/>
    </xf>
    <xf numFmtId="3" fontId="0" fillId="0" borderId="0" xfId="0" applyNumberFormat="1"/>
    <xf numFmtId="10" fontId="0" fillId="0" borderId="0" xfId="2" applyNumberFormat="1" applyFont="1" applyAlignment="1">
      <alignment horizontal="center"/>
    </xf>
    <xf numFmtId="0" fontId="40" fillId="0" borderId="0" xfId="0" applyFont="1" applyAlignment="1">
      <alignment vertical="center" wrapText="1"/>
    </xf>
    <xf numFmtId="3" fontId="33" fillId="0" borderId="0" xfId="0" applyNumberFormat="1" applyFont="1" applyAlignment="1">
      <alignment horizontal="center" vertical="center"/>
    </xf>
    <xf numFmtId="0" fontId="0" fillId="0" borderId="0" xfId="2" applyNumberFormat="1" applyFont="1" applyAlignment="1">
      <alignment horizont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right" vertical="center"/>
    </xf>
    <xf numFmtId="3" fontId="32" fillId="0" borderId="1" xfId="0" applyNumberFormat="1" applyFont="1" applyBorder="1" applyAlignment="1" applyProtection="1">
      <alignment horizontal="center" vertical="center" wrapText="1"/>
      <protection locked="0"/>
    </xf>
    <xf numFmtId="3" fontId="32" fillId="5" borderId="1" xfId="0" applyNumberFormat="1" applyFont="1" applyFill="1" applyBorder="1" applyAlignment="1">
      <alignment horizontal="center" vertical="center"/>
    </xf>
    <xf numFmtId="3" fontId="32" fillId="6" borderId="1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/>
    </xf>
    <xf numFmtId="3" fontId="32" fillId="0" borderId="0" xfId="1" applyNumberFormat="1" applyFont="1" applyFill="1" applyBorder="1" applyAlignment="1">
      <alignment horizontal="center" vertical="center" wrapText="1"/>
    </xf>
    <xf numFmtId="3" fontId="32" fillId="0" borderId="7" xfId="1" applyNumberFormat="1" applyFont="1" applyFill="1" applyBorder="1" applyAlignment="1">
      <alignment horizontal="center" vertical="center" wrapText="1"/>
    </xf>
    <xf numFmtId="0" fontId="32" fillId="0" borderId="0" xfId="0" applyFont="1"/>
    <xf numFmtId="3" fontId="32" fillId="0" borderId="0" xfId="0" applyNumberFormat="1" applyFont="1" applyAlignment="1">
      <alignment horizontal="center" vertical="center" wrapText="1"/>
    </xf>
    <xf numFmtId="0" fontId="32" fillId="5" borderId="1" xfId="0" applyFont="1" applyFill="1" applyBorder="1" applyAlignment="1">
      <alignment horizontal="right" vertical="center"/>
    </xf>
    <xf numFmtId="3" fontId="33" fillId="0" borderId="1" xfId="0" applyNumberFormat="1" applyFont="1" applyBorder="1" applyAlignment="1">
      <alignment horizontal="center" vertical="center" wrapText="1"/>
    </xf>
    <xf numFmtId="3" fontId="33" fillId="5" borderId="1" xfId="1" applyNumberFormat="1" applyFont="1" applyFill="1" applyBorder="1" applyAlignment="1">
      <alignment horizontal="center" vertical="center" wrapText="1"/>
    </xf>
    <xf numFmtId="3" fontId="42" fillId="0" borderId="0" xfId="0" applyNumberFormat="1" applyFont="1" applyAlignment="1">
      <alignment vertical="center" wrapText="1"/>
    </xf>
    <xf numFmtId="3" fontId="44" fillId="0" borderId="0" xfId="1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3" fontId="46" fillId="0" borderId="0" xfId="1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 vertical="top" wrapText="1"/>
    </xf>
    <xf numFmtId="0" fontId="14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right" vertical="center" wrapText="1"/>
    </xf>
    <xf numFmtId="165" fontId="10" fillId="0" borderId="0" xfId="0" applyNumberFormat="1" applyFont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165" fontId="6" fillId="0" borderId="0" xfId="0" applyNumberFormat="1" applyFont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44" fillId="0" borderId="0" xfId="0" applyFont="1" applyAlignment="1">
      <alignment horizontal="left"/>
    </xf>
    <xf numFmtId="0" fontId="33" fillId="2" borderId="5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horizontal="center" vertical="center" wrapText="1"/>
    </xf>
    <xf numFmtId="0" fontId="33" fillId="10" borderId="1" xfId="0" applyFont="1" applyFill="1" applyBorder="1" applyAlignment="1">
      <alignment horizontal="center"/>
    </xf>
    <xf numFmtId="3" fontId="45" fillId="0" borderId="0" xfId="1" applyNumberFormat="1" applyFont="1" applyFill="1" applyBorder="1" applyAlignment="1">
      <alignment horizontal="center" vertical="center" wrapText="1"/>
    </xf>
    <xf numFmtId="3" fontId="44" fillId="0" borderId="0" xfId="1" applyNumberFormat="1" applyFont="1" applyFill="1" applyBorder="1" applyAlignment="1">
      <alignment horizontal="center" vertical="center" wrapText="1"/>
    </xf>
    <xf numFmtId="3" fontId="44" fillId="0" borderId="0" xfId="0" applyNumberFormat="1" applyFont="1" applyAlignment="1">
      <alignment horizontal="left" vertical="center" wrapText="1"/>
    </xf>
    <xf numFmtId="0" fontId="44" fillId="0" borderId="0" xfId="0" applyFont="1" applyAlignment="1">
      <alignment horizontal="left" vertical="top" wrapText="1"/>
    </xf>
    <xf numFmtId="0" fontId="44" fillId="0" borderId="0" xfId="0" applyFont="1" applyAlignment="1">
      <alignment horizontal="left" vertical="top"/>
    </xf>
    <xf numFmtId="0" fontId="41" fillId="0" borderId="0" xfId="0" applyFont="1" applyAlignment="1">
      <alignment horizontal="right" vertical="top" wrapText="1"/>
    </xf>
    <xf numFmtId="0" fontId="43" fillId="0" borderId="0" xfId="0" applyFont="1" applyAlignment="1">
      <alignment horizontal="center" vertical="center" wrapText="1"/>
    </xf>
    <xf numFmtId="3" fontId="46" fillId="0" borderId="0" xfId="1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6">
    <cellStyle name="Обычный" xfId="0" builtinId="0"/>
    <cellStyle name="Обычный 2" xfId="7" xr:uid="{00000000-0005-0000-0000-000001000000}"/>
    <cellStyle name="Обычный 2 10" xfId="11" xr:uid="{00000000-0005-0000-0000-000002000000}"/>
    <cellStyle name="Обычный 4" xfId="3" xr:uid="{00000000-0005-0000-0000-000003000000}"/>
    <cellStyle name="Обычный 4 2" xfId="6" xr:uid="{00000000-0005-0000-0000-000004000000}"/>
    <cellStyle name="Обычный 4 5" xfId="4" xr:uid="{00000000-0005-0000-0000-000005000000}"/>
    <cellStyle name="Обычный 5 2" xfId="14" xr:uid="{00000000-0005-0000-0000-000006000000}"/>
    <cellStyle name="Обычный 7" xfId="8" xr:uid="{00000000-0005-0000-0000-000007000000}"/>
    <cellStyle name="Обычный 7 3" xfId="13" xr:uid="{00000000-0005-0000-0000-000008000000}"/>
    <cellStyle name="Процентный" xfId="2" builtinId="5"/>
    <cellStyle name="Финансовый" xfId="1" builtinId="3"/>
    <cellStyle name="Финансовый 10" xfId="10" xr:uid="{00000000-0005-0000-0000-00000B000000}"/>
    <cellStyle name="Финансовый 2" xfId="5" xr:uid="{00000000-0005-0000-0000-00000C000000}"/>
    <cellStyle name="Финансовый 3" xfId="9" xr:uid="{00000000-0005-0000-0000-00000D000000}"/>
    <cellStyle name="Финансовый 3 3" xfId="15" xr:uid="{00000000-0005-0000-0000-00000E000000}"/>
    <cellStyle name="Финансовый 4 2 2" xfId="12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"/>
  <sheetViews>
    <sheetView workbookViewId="0">
      <selection activeCell="H23" sqref="H23"/>
    </sheetView>
  </sheetViews>
  <sheetFormatPr defaultRowHeight="15" x14ac:dyDescent="0.25"/>
  <cols>
    <col min="1" max="1" width="45.140625" bestFit="1" customWidth="1"/>
    <col min="2" max="2" width="6.5703125" hidden="1" customWidth="1"/>
    <col min="3" max="3" width="13.85546875" hidden="1" customWidth="1"/>
    <col min="4" max="4" width="15.28515625" customWidth="1"/>
    <col min="5" max="5" width="10.85546875" bestFit="1" customWidth="1"/>
    <col min="6" max="7" width="12.140625" bestFit="1" customWidth="1"/>
    <col min="8" max="8" width="14.7109375" customWidth="1"/>
    <col min="9" max="9" width="12.85546875" bestFit="1" customWidth="1"/>
    <col min="10" max="10" width="12.140625" bestFit="1" customWidth="1"/>
    <col min="11" max="11" width="14.28515625" customWidth="1"/>
    <col min="12" max="12" width="13.85546875" bestFit="1" customWidth="1"/>
    <col min="13" max="16" width="14.42578125" bestFit="1" customWidth="1"/>
    <col min="17" max="17" width="15" bestFit="1" customWidth="1"/>
    <col min="18" max="18" width="15.28515625" customWidth="1"/>
  </cols>
  <sheetData>
    <row r="1" spans="1:18" ht="18.75" x14ac:dyDescent="0.25">
      <c r="A1" s="172" t="s">
        <v>0</v>
      </c>
      <c r="B1" s="172"/>
      <c r="C1" s="172"/>
      <c r="D1" s="17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ht="30.75" customHeight="1" x14ac:dyDescent="0.25">
      <c r="A2" s="28" t="s">
        <v>28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 t="s">
        <v>1</v>
      </c>
    </row>
    <row r="3" spans="1:18" x14ac:dyDescent="0.25">
      <c r="A3" s="173" t="s">
        <v>2</v>
      </c>
      <c r="B3" s="173" t="s">
        <v>3</v>
      </c>
      <c r="C3" s="173"/>
      <c r="D3" s="173"/>
      <c r="E3" s="174">
        <v>2021</v>
      </c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6"/>
    </row>
    <row r="4" spans="1:18" x14ac:dyDescent="0.25">
      <c r="A4" s="173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4</v>
      </c>
      <c r="P4" s="5" t="s">
        <v>5</v>
      </c>
      <c r="Q4" s="5" t="s">
        <v>6</v>
      </c>
    </row>
    <row r="5" spans="1:18" ht="51" x14ac:dyDescent="0.25">
      <c r="A5" s="6" t="s">
        <v>17</v>
      </c>
      <c r="B5" s="7">
        <f>B6</f>
        <v>0</v>
      </c>
      <c r="C5" s="7">
        <f t="shared" ref="C5:P5" si="0">C6</f>
        <v>1610679611.2</v>
      </c>
      <c r="D5" s="7">
        <f t="shared" si="0"/>
        <v>1610679611.2</v>
      </c>
      <c r="E5" s="7">
        <f t="shared" si="0"/>
        <v>0</v>
      </c>
      <c r="F5" s="7">
        <f t="shared" si="0"/>
        <v>30296822.559999999</v>
      </c>
      <c r="G5" s="7">
        <f t="shared" si="0"/>
        <v>30296822.559999999</v>
      </c>
      <c r="H5" s="7">
        <f t="shared" si="0"/>
        <v>1455296822.5599999</v>
      </c>
      <c r="I5" s="7">
        <f t="shared" si="0"/>
        <v>11818999.119999999</v>
      </c>
      <c r="J5" s="7">
        <f t="shared" si="0"/>
        <v>0</v>
      </c>
      <c r="K5" s="7">
        <f t="shared" si="0"/>
        <v>91452462</v>
      </c>
      <c r="L5" s="7">
        <f t="shared" si="0"/>
        <v>2551000000</v>
      </c>
      <c r="M5" s="7">
        <f t="shared" si="0"/>
        <v>0</v>
      </c>
      <c r="N5" s="7">
        <f t="shared" si="0"/>
        <v>832335000</v>
      </c>
      <c r="O5" s="7">
        <f t="shared" si="0"/>
        <v>1174834920</v>
      </c>
      <c r="P5" s="7">
        <f t="shared" si="0"/>
        <v>1192213680</v>
      </c>
      <c r="Q5" s="7">
        <f>Q6</f>
        <v>7369545528.8000002</v>
      </c>
    </row>
    <row r="6" spans="1:18" ht="38.25" x14ac:dyDescent="0.25">
      <c r="A6" s="8" t="s">
        <v>18</v>
      </c>
      <c r="B6" s="9">
        <f>B7+B10</f>
        <v>0</v>
      </c>
      <c r="C6" s="9">
        <f t="shared" ref="C6" si="1">C7+C10</f>
        <v>1610679611.2</v>
      </c>
      <c r="D6" s="10">
        <f>D7+D10</f>
        <v>1610679611.2</v>
      </c>
      <c r="E6" s="9">
        <f t="shared" ref="E6:P6" si="2">E7+E10</f>
        <v>0</v>
      </c>
      <c r="F6" s="9">
        <f t="shared" si="2"/>
        <v>30296822.559999999</v>
      </c>
      <c r="G6" s="9">
        <f t="shared" si="2"/>
        <v>30296822.559999999</v>
      </c>
      <c r="H6" s="9">
        <f t="shared" si="2"/>
        <v>1455296822.5599999</v>
      </c>
      <c r="I6" s="9">
        <f t="shared" si="2"/>
        <v>11818999.119999999</v>
      </c>
      <c r="J6" s="9">
        <f t="shared" si="2"/>
        <v>0</v>
      </c>
      <c r="K6" s="9">
        <f t="shared" si="2"/>
        <v>91452462</v>
      </c>
      <c r="L6" s="9">
        <f t="shared" si="2"/>
        <v>2551000000</v>
      </c>
      <c r="M6" s="9">
        <f t="shared" si="2"/>
        <v>0</v>
      </c>
      <c r="N6" s="9">
        <f t="shared" si="2"/>
        <v>832335000</v>
      </c>
      <c r="O6" s="9">
        <f t="shared" si="2"/>
        <v>1174834920</v>
      </c>
      <c r="P6" s="9">
        <f t="shared" si="2"/>
        <v>1192213680</v>
      </c>
      <c r="Q6" s="10">
        <f>Q7+Q10</f>
        <v>7369545528.8000002</v>
      </c>
    </row>
    <row r="7" spans="1:18" x14ac:dyDescent="0.25">
      <c r="A7" s="11" t="s">
        <v>19</v>
      </c>
      <c r="B7" s="12">
        <f>B8+B9</f>
        <v>0</v>
      </c>
      <c r="C7" s="12">
        <f t="shared" ref="C7" si="3">C8+C9</f>
        <v>110679611.2</v>
      </c>
      <c r="D7" s="12">
        <f>D8+D9</f>
        <v>110679611.2</v>
      </c>
      <c r="E7" s="12">
        <f t="shared" ref="E7:F7" si="4">E8+E9</f>
        <v>0</v>
      </c>
      <c r="F7" s="12">
        <f t="shared" si="4"/>
        <v>30296822.559999999</v>
      </c>
      <c r="G7" s="12">
        <f>G8+G9</f>
        <v>30296822.559999999</v>
      </c>
      <c r="H7" s="12">
        <f>H8+H9</f>
        <v>30296822.559999999</v>
      </c>
      <c r="I7" s="12">
        <f t="shared" ref="I7:P7" si="5">I8+I9</f>
        <v>11818999.119999999</v>
      </c>
      <c r="J7" s="12">
        <f t="shared" si="5"/>
        <v>0</v>
      </c>
      <c r="K7" s="12">
        <f t="shared" si="5"/>
        <v>91452462</v>
      </c>
      <c r="L7" s="12">
        <f t="shared" si="5"/>
        <v>0</v>
      </c>
      <c r="M7" s="12">
        <f t="shared" si="5"/>
        <v>0</v>
      </c>
      <c r="N7" s="12">
        <f t="shared" si="5"/>
        <v>0</v>
      </c>
      <c r="O7" s="12">
        <f t="shared" si="5"/>
        <v>0</v>
      </c>
      <c r="P7" s="12">
        <f t="shared" si="5"/>
        <v>0</v>
      </c>
      <c r="Q7" s="13">
        <f>Q8+Q9</f>
        <v>194161928.80000001</v>
      </c>
    </row>
    <row r="8" spans="1:18" x14ac:dyDescent="0.25">
      <c r="A8" s="14" t="s">
        <v>20</v>
      </c>
      <c r="B8" s="9"/>
      <c r="C8" s="9">
        <f>91452462</f>
        <v>91452462</v>
      </c>
      <c r="D8" s="10">
        <f>B8+C8</f>
        <v>91452462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5">
        <f>E8+F8+G8+H8+I8+J8+K8+L8+M8+N8+O8+P8</f>
        <v>0</v>
      </c>
    </row>
    <row r="9" spans="1:18" x14ac:dyDescent="0.25">
      <c r="A9" s="14" t="s">
        <v>21</v>
      </c>
      <c r="B9" s="9"/>
      <c r="C9" s="9">
        <v>19227149.199999999</v>
      </c>
      <c r="D9" s="10">
        <f>B9+C9</f>
        <v>19227149.199999999</v>
      </c>
      <c r="E9" s="9"/>
      <c r="F9" s="9">
        <v>30296822.559999999</v>
      </c>
      <c r="G9" s="9">
        <v>30296822.559999999</v>
      </c>
      <c r="H9" s="9">
        <v>30296822.559999999</v>
      </c>
      <c r="I9" s="9">
        <v>11818999.119999999</v>
      </c>
      <c r="J9" s="9">
        <v>0</v>
      </c>
      <c r="K9" s="9">
        <f>91452462</f>
        <v>91452462</v>
      </c>
      <c r="L9" s="9"/>
      <c r="M9" s="9"/>
      <c r="N9" s="9"/>
      <c r="O9" s="9"/>
      <c r="P9" s="9"/>
      <c r="Q9" s="15">
        <f>E9+F9+G9+H9+I9+J9+K9+L9+M9+N9+O9+P9</f>
        <v>194161928.80000001</v>
      </c>
    </row>
    <row r="10" spans="1:18" x14ac:dyDescent="0.25">
      <c r="A10" s="11" t="s">
        <v>22</v>
      </c>
      <c r="B10" s="12">
        <f>B12+B11</f>
        <v>0</v>
      </c>
      <c r="C10" s="12">
        <f>C12+C11</f>
        <v>1500000000</v>
      </c>
      <c r="D10" s="12">
        <f>D12+D11</f>
        <v>1500000000</v>
      </c>
      <c r="E10" s="12">
        <f t="shared" ref="E10:K10" si="6">E12+E11</f>
        <v>0</v>
      </c>
      <c r="F10" s="12">
        <f t="shared" si="6"/>
        <v>0</v>
      </c>
      <c r="G10" s="12">
        <f t="shared" si="6"/>
        <v>0</v>
      </c>
      <c r="H10" s="12">
        <f t="shared" si="6"/>
        <v>1425000000</v>
      </c>
      <c r="I10" s="12">
        <f t="shared" si="6"/>
        <v>0</v>
      </c>
      <c r="J10" s="12">
        <f t="shared" si="6"/>
        <v>0</v>
      </c>
      <c r="K10" s="12">
        <f t="shared" si="6"/>
        <v>0</v>
      </c>
      <c r="L10" s="12">
        <f>L11+L12</f>
        <v>2551000000</v>
      </c>
      <c r="M10" s="12">
        <f t="shared" ref="M10:P10" si="7">M12+M11</f>
        <v>0</v>
      </c>
      <c r="N10" s="12">
        <f>N12+N11</f>
        <v>832335000</v>
      </c>
      <c r="O10" s="12">
        <f t="shared" si="7"/>
        <v>1174834920</v>
      </c>
      <c r="P10" s="12">
        <f t="shared" si="7"/>
        <v>1192213680</v>
      </c>
      <c r="Q10" s="13">
        <f>Q11+Q12</f>
        <v>7175383600</v>
      </c>
    </row>
    <row r="11" spans="1:18" x14ac:dyDescent="0.25">
      <c r="A11" s="14" t="s">
        <v>20</v>
      </c>
      <c r="B11" s="9"/>
      <c r="C11" s="9">
        <v>1500000000</v>
      </c>
      <c r="D11" s="10">
        <f>B11+C11</f>
        <v>1500000000</v>
      </c>
      <c r="E11" s="9"/>
      <c r="F11" s="9"/>
      <c r="G11" s="9"/>
      <c r="H11" s="9">
        <v>1425000000</v>
      </c>
      <c r="I11" s="9"/>
      <c r="J11" s="9"/>
      <c r="K11" s="9"/>
      <c r="L11" s="9">
        <v>2551000000</v>
      </c>
      <c r="M11" s="9"/>
      <c r="N11" s="9"/>
      <c r="O11" s="9"/>
      <c r="P11" s="9"/>
      <c r="Q11" s="15">
        <f>E11+F11+G11+H11+I11+J11+K11+L11+M11+N11+O11+P11</f>
        <v>3976000000</v>
      </c>
    </row>
    <row r="12" spans="1:18" x14ac:dyDescent="0.25">
      <c r="A12" s="14" t="s">
        <v>23</v>
      </c>
      <c r="B12" s="9"/>
      <c r="C12" s="9"/>
      <c r="D12" s="10">
        <f>B12+C12</f>
        <v>0</v>
      </c>
      <c r="E12" s="9"/>
      <c r="F12" s="9"/>
      <c r="G12" s="9"/>
      <c r="H12" s="9"/>
      <c r="I12" s="9"/>
      <c r="J12" s="9"/>
      <c r="K12" s="9"/>
      <c r="L12" s="9"/>
      <c r="M12" s="9">
        <v>0</v>
      </c>
      <c r="N12" s="9">
        <f>M15-M16</f>
        <v>832335000</v>
      </c>
      <c r="O12" s="9">
        <f>N15-N16</f>
        <v>1174834920</v>
      </c>
      <c r="P12" s="9">
        <f>O15-O16</f>
        <v>1192213680</v>
      </c>
      <c r="Q12" s="15">
        <f>E12+F12+G12+H12+I12+J12+K12+L12+M12+N12+O12+P12</f>
        <v>3199383600</v>
      </c>
      <c r="R12" s="55">
        <f>D11+D8+Q11</f>
        <v>5567452462</v>
      </c>
    </row>
    <row r="13" spans="1:18" x14ac:dyDescent="0.25">
      <c r="A13" s="16" t="s">
        <v>24</v>
      </c>
      <c r="B13" s="17"/>
      <c r="C13" s="17"/>
      <c r="D13" s="17">
        <v>316295731.19999999</v>
      </c>
      <c r="E13" s="17">
        <f>221576000*1.2</f>
        <v>265891200</v>
      </c>
      <c r="F13" s="17">
        <f>374928000*1.2</f>
        <v>449913600</v>
      </c>
      <c r="G13" s="17">
        <f>400025000*1.2</f>
        <v>480030000</v>
      </c>
      <c r="H13" s="17">
        <f>464024000*1.2</f>
        <v>556828800</v>
      </c>
      <c r="I13" s="17">
        <f>460602000*1.2</f>
        <v>552722400</v>
      </c>
      <c r="J13" s="17">
        <f>444578000*1.2</f>
        <v>533493600</v>
      </c>
      <c r="K13" s="17">
        <f>470139000*1.2</f>
        <v>564166800</v>
      </c>
      <c r="L13" s="17">
        <f>616198000*1.2</f>
        <v>739437600</v>
      </c>
      <c r="M13" s="17">
        <f>1034790000*1.2</f>
        <v>1241748000</v>
      </c>
      <c r="N13" s="17">
        <f>687718000*1.2</f>
        <v>825261600</v>
      </c>
      <c r="O13" s="17">
        <f>664922000*1.2</f>
        <v>797906400</v>
      </c>
      <c r="P13" s="17">
        <f>399102000*1.2</f>
        <v>478922400</v>
      </c>
      <c r="Q13" s="18">
        <f>E13+F13+G13+H13+I13+J13+K13+L13+M13+N13+O13+P13</f>
        <v>7486322400</v>
      </c>
    </row>
    <row r="14" spans="1:18" x14ac:dyDescent="0.25">
      <c r="A14" s="16" t="s">
        <v>25</v>
      </c>
      <c r="B14" s="17"/>
      <c r="C14" s="17"/>
      <c r="D14" s="17">
        <v>316295731.19999999</v>
      </c>
      <c r="E14" s="17">
        <f>D14+E13</f>
        <v>582186931.20000005</v>
      </c>
      <c r="F14" s="17">
        <f>E14+F13</f>
        <v>1032100531.2</v>
      </c>
      <c r="G14" s="17">
        <f>F14+G13</f>
        <v>1512130531.2</v>
      </c>
      <c r="H14" s="17">
        <f>G14+H13</f>
        <v>2068959331.2</v>
      </c>
      <c r="I14" s="17">
        <f t="shared" ref="I14:L14" si="8">H14+I13</f>
        <v>2621681731.1999998</v>
      </c>
      <c r="J14" s="17">
        <f t="shared" si="8"/>
        <v>3155175331.1999998</v>
      </c>
      <c r="K14" s="17">
        <f t="shared" si="8"/>
        <v>3719342131.1999998</v>
      </c>
      <c r="L14" s="17">
        <f t="shared" si="8"/>
        <v>4458779731.1999998</v>
      </c>
      <c r="M14" s="17">
        <f>L14+M13-M15</f>
        <v>4511477731.1999998</v>
      </c>
      <c r="N14" s="17">
        <f>M14+N13-N15</f>
        <v>3658403731.1999998</v>
      </c>
      <c r="O14" s="17">
        <f>N14+O13-O15</f>
        <v>2753147731.1999998</v>
      </c>
      <c r="P14" s="17">
        <f>O14+P13-P15</f>
        <v>365855731.19999981</v>
      </c>
      <c r="Q14" s="17">
        <f>P14</f>
        <v>365855731.19999981</v>
      </c>
    </row>
    <row r="15" spans="1:18" x14ac:dyDescent="0.25">
      <c r="A15" s="19" t="s">
        <v>26</v>
      </c>
      <c r="B15" s="19"/>
      <c r="C15" s="20">
        <f>C9*100/70</f>
        <v>27467356</v>
      </c>
      <c r="D15" s="20">
        <f>B15+C15</f>
        <v>27467356</v>
      </c>
      <c r="E15" s="20"/>
      <c r="F15" s="20">
        <f>F9*100/70</f>
        <v>43281175.085714288</v>
      </c>
      <c r="G15" s="20">
        <f>G9*100/70</f>
        <v>43281175.085714288</v>
      </c>
      <c r="H15" s="20">
        <f>H9*100/70</f>
        <v>43281175.085714288</v>
      </c>
      <c r="I15" s="20">
        <f>I9*100/70</f>
        <v>16884284.457142856</v>
      </c>
      <c r="J15" s="20"/>
      <c r="K15" s="20">
        <f>K9*100/70</f>
        <v>130646374.28571428</v>
      </c>
      <c r="L15" s="20"/>
      <c r="M15" s="20">
        <v>1189050000</v>
      </c>
      <c r="N15" s="20">
        <f>1398613000*1.2</f>
        <v>1678335600</v>
      </c>
      <c r="O15" s="20">
        <f>1419302000*1.2</f>
        <v>1703162400</v>
      </c>
      <c r="P15" s="20">
        <f>2388512000*1.2</f>
        <v>2866214400</v>
      </c>
      <c r="Q15" s="21">
        <f>E15+F15+G15+H15+I15+J15+K15+L15+M15+N15+O15+P15</f>
        <v>7714136584</v>
      </c>
    </row>
    <row r="16" spans="1:18" x14ac:dyDescent="0.25">
      <c r="A16" s="22" t="s">
        <v>27</v>
      </c>
      <c r="B16" s="22"/>
      <c r="C16" s="23">
        <f>C15*30%</f>
        <v>8240206.7999999998</v>
      </c>
      <c r="D16" s="23">
        <f>B16+C16</f>
        <v>8240206.7999999998</v>
      </c>
      <c r="E16" s="23"/>
      <c r="F16" s="23">
        <f t="shared" ref="F16:I16" si="9">F15*30%</f>
        <v>12984352.525714286</v>
      </c>
      <c r="G16" s="23">
        <f t="shared" si="9"/>
        <v>12984352.525714286</v>
      </c>
      <c r="H16" s="23">
        <f t="shared" si="9"/>
        <v>12984352.525714286</v>
      </c>
      <c r="I16" s="23">
        <f t="shared" si="9"/>
        <v>5065285.3371428568</v>
      </c>
      <c r="J16" s="23"/>
      <c r="K16" s="23">
        <f>K15*30%</f>
        <v>39193912.285714284</v>
      </c>
      <c r="L16" s="23"/>
      <c r="M16" s="23">
        <f>M15*30%</f>
        <v>356715000</v>
      </c>
      <c r="N16" s="23">
        <f>N15*30%</f>
        <v>503500680</v>
      </c>
      <c r="O16" s="23">
        <f>O15*30%</f>
        <v>510948720</v>
      </c>
      <c r="P16" s="23">
        <f>P15*30%</f>
        <v>859864320</v>
      </c>
      <c r="Q16" s="24">
        <f>E16+F16+G16+H16+I16+J16+K16+L16+M16+N16+O16+P16</f>
        <v>2314240975.1999998</v>
      </c>
    </row>
    <row r="17" spans="1:18" x14ac:dyDescent="0.25">
      <c r="A17" s="25"/>
      <c r="B17" s="25"/>
      <c r="C17" s="26"/>
      <c r="D17" s="46" t="s">
        <v>36</v>
      </c>
      <c r="E17" s="26"/>
      <c r="F17" s="26"/>
      <c r="G17" s="26"/>
      <c r="H17" s="45" t="s">
        <v>37</v>
      </c>
      <c r="I17" s="52" t="s">
        <v>38</v>
      </c>
      <c r="J17" s="45"/>
      <c r="K17" s="26"/>
      <c r="L17" s="26"/>
      <c r="M17" s="26"/>
      <c r="N17" s="26"/>
      <c r="O17" s="26"/>
      <c r="P17" s="26"/>
      <c r="Q17" s="27"/>
    </row>
    <row r="18" spans="1:18" ht="25.5" customHeight="1" x14ac:dyDescent="0.25">
      <c r="A18" s="25" t="s">
        <v>32</v>
      </c>
      <c r="B18" s="25"/>
      <c r="C18" s="26"/>
      <c r="D18" s="26">
        <v>20915162.57</v>
      </c>
      <c r="E18" s="26"/>
      <c r="F18" s="177" t="s">
        <v>40</v>
      </c>
      <c r="G18" s="177"/>
      <c r="H18" s="58">
        <f>10290372*1.2</f>
        <v>12348446.4</v>
      </c>
      <c r="I18" s="53">
        <f>4100000*1.2</f>
        <v>4920000</v>
      </c>
      <c r="J18" s="178" t="s">
        <v>34</v>
      </c>
      <c r="K18" s="178"/>
      <c r="L18" s="46">
        <f>3730900+3240500</f>
        <v>6971400</v>
      </c>
      <c r="M18" s="26"/>
      <c r="N18" s="26"/>
      <c r="O18" s="26"/>
      <c r="P18" s="47">
        <f>P19/D18</f>
        <v>0.50030821252182112</v>
      </c>
      <c r="Q18" s="59" t="s">
        <v>39</v>
      </c>
    </row>
    <row r="19" spans="1:18" ht="32.25" customHeight="1" x14ac:dyDescent="0.25">
      <c r="A19" s="25" t="s">
        <v>33</v>
      </c>
      <c r="B19" s="25"/>
      <c r="C19" s="26"/>
      <c r="D19" s="57">
        <f>D18*30%</f>
        <v>6274548.7709999997</v>
      </c>
      <c r="E19" s="26"/>
      <c r="F19" s="182" t="s">
        <v>35</v>
      </c>
      <c r="G19" s="182"/>
      <c r="H19" s="55">
        <f>6977173*1.2</f>
        <v>8372607.5999999996</v>
      </c>
      <c r="I19" s="53">
        <f>I18*0.57</f>
        <v>2804399.9999999995</v>
      </c>
      <c r="J19" s="26"/>
      <c r="K19" s="26" t="s">
        <v>33</v>
      </c>
      <c r="L19" s="56">
        <f>L18*0.3</f>
        <v>2091420</v>
      </c>
      <c r="M19" s="26"/>
      <c r="N19" s="182" t="s">
        <v>41</v>
      </c>
      <c r="O19" s="182"/>
      <c r="P19" s="55">
        <f>H19+L19</f>
        <v>10464027.6</v>
      </c>
      <c r="Q19" s="49">
        <f>P19-R12/1000</f>
        <v>4896575.1379999993</v>
      </c>
      <c r="R19" s="50" t="s">
        <v>42</v>
      </c>
    </row>
    <row r="20" spans="1:18" ht="18" customHeight="1" x14ac:dyDescent="0.25">
      <c r="A20" s="25" t="s">
        <v>32</v>
      </c>
      <c r="B20" s="25"/>
      <c r="C20" s="26"/>
      <c r="D20" s="26">
        <v>25091976.5</v>
      </c>
      <c r="E20" s="26"/>
      <c r="F20" s="26"/>
      <c r="G20" s="26"/>
      <c r="H20" s="47">
        <f>H19/H18</f>
        <v>0.67802922965272772</v>
      </c>
      <c r="I20" s="54"/>
      <c r="J20" s="26"/>
      <c r="K20" s="26"/>
      <c r="L20" s="26"/>
      <c r="M20" s="26"/>
      <c r="N20" s="182"/>
      <c r="O20" s="182"/>
      <c r="P20" s="26"/>
      <c r="Q20" s="27"/>
    </row>
    <row r="21" spans="1:18" ht="24.75" customHeight="1" x14ac:dyDescent="0.25">
      <c r="A21" s="25" t="s">
        <v>33</v>
      </c>
      <c r="B21" s="25"/>
      <c r="C21" s="26"/>
      <c r="D21" s="57">
        <f>D20*30%</f>
        <v>7527592.9500000002</v>
      </c>
      <c r="E21" s="26"/>
      <c r="F21" s="26"/>
      <c r="G21" s="26"/>
      <c r="H21" s="47"/>
      <c r="I21" s="54"/>
      <c r="J21" s="26"/>
      <c r="K21" s="26"/>
      <c r="L21" s="26"/>
      <c r="M21" s="26"/>
      <c r="N21" s="48"/>
      <c r="O21" s="48"/>
      <c r="P21" s="47">
        <f>P22/D18</f>
        <v>0.33615796848190599</v>
      </c>
      <c r="Q21" s="27"/>
    </row>
    <row r="22" spans="1:18" ht="29.25" customHeight="1" x14ac:dyDescent="0.25">
      <c r="A22" s="25"/>
      <c r="B22" s="25"/>
      <c r="C22" s="26"/>
      <c r="D22" s="26"/>
      <c r="E22" s="26"/>
      <c r="F22" s="182" t="s">
        <v>43</v>
      </c>
      <c r="G22" s="182"/>
      <c r="H22" s="55">
        <f>H18*H23</f>
        <v>4939378.5600000005</v>
      </c>
      <c r="I22" s="53">
        <f>I18*H23</f>
        <v>1968000</v>
      </c>
      <c r="J22" s="26"/>
      <c r="K22" s="26" t="s">
        <v>33</v>
      </c>
      <c r="L22" s="56">
        <f>L18*0.3</f>
        <v>2091420</v>
      </c>
      <c r="M22" s="26"/>
      <c r="N22" s="182" t="s">
        <v>41</v>
      </c>
      <c r="O22" s="182"/>
      <c r="P22" s="55">
        <f>H22+L22</f>
        <v>7030798.5600000005</v>
      </c>
      <c r="Q22" s="49">
        <f>P22-R12/1000</f>
        <v>1463346.0980000002</v>
      </c>
      <c r="R22" s="50" t="s">
        <v>42</v>
      </c>
    </row>
    <row r="23" spans="1:18" ht="30" customHeight="1" x14ac:dyDescent="0.25">
      <c r="A23" s="28" t="s">
        <v>31</v>
      </c>
      <c r="F23" s="26"/>
      <c r="G23" s="26"/>
      <c r="H23" s="47">
        <v>0.4</v>
      </c>
      <c r="N23" s="182"/>
      <c r="O23" s="182"/>
      <c r="P23" s="26"/>
    </row>
    <row r="24" spans="1:18" ht="15.75" x14ac:dyDescent="0.25">
      <c r="A24" s="29" t="s">
        <v>2</v>
      </c>
      <c r="D24" s="44"/>
      <c r="E24" s="179">
        <v>2021</v>
      </c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1"/>
    </row>
    <row r="25" spans="1:18" ht="15.75" x14ac:dyDescent="0.25">
      <c r="A25" s="29"/>
      <c r="D25" s="5"/>
      <c r="E25" s="35" t="s">
        <v>7</v>
      </c>
      <c r="F25" s="35" t="s">
        <v>8</v>
      </c>
      <c r="G25" s="35" t="s">
        <v>9</v>
      </c>
      <c r="H25" s="35" t="s">
        <v>10</v>
      </c>
      <c r="I25" s="35" t="s">
        <v>11</v>
      </c>
      <c r="J25" s="35" t="s">
        <v>12</v>
      </c>
      <c r="K25" s="35" t="s">
        <v>13</v>
      </c>
      <c r="L25" s="35" t="s">
        <v>14</v>
      </c>
      <c r="M25" s="35" t="s">
        <v>15</v>
      </c>
      <c r="N25" s="35" t="s">
        <v>16</v>
      </c>
      <c r="O25" s="35" t="s">
        <v>4</v>
      </c>
      <c r="P25" s="35" t="s">
        <v>5</v>
      </c>
      <c r="Q25" s="35" t="s">
        <v>6</v>
      </c>
    </row>
    <row r="26" spans="1:18" ht="57" x14ac:dyDescent="0.25">
      <c r="A26" s="30" t="s">
        <v>17</v>
      </c>
      <c r="D26" s="7"/>
      <c r="E26" s="36">
        <f t="shared" ref="E26:P26" si="10">E27</f>
        <v>0</v>
      </c>
      <c r="F26" s="36">
        <f t="shared" si="10"/>
        <v>0</v>
      </c>
      <c r="G26" s="36">
        <f t="shared" si="10"/>
        <v>0</v>
      </c>
      <c r="H26" s="37">
        <f t="shared" si="10"/>
        <v>1736326988</v>
      </c>
      <c r="I26" s="37">
        <f t="shared" si="10"/>
        <v>264220000</v>
      </c>
      <c r="J26" s="37">
        <f t="shared" si="10"/>
        <v>0</v>
      </c>
      <c r="K26" s="37">
        <f t="shared" si="10"/>
        <v>2160000000</v>
      </c>
      <c r="L26" s="37">
        <f t="shared" si="10"/>
        <v>274000000</v>
      </c>
      <c r="M26" s="37">
        <f t="shared" si="10"/>
        <v>0</v>
      </c>
      <c r="N26" s="37">
        <f t="shared" si="10"/>
        <v>3000000000</v>
      </c>
      <c r="O26" s="37">
        <f t="shared" si="10"/>
        <v>0</v>
      </c>
      <c r="P26" s="37">
        <f t="shared" si="10"/>
        <v>110690040</v>
      </c>
      <c r="Q26" s="37">
        <f>Q27</f>
        <v>7545237028</v>
      </c>
    </row>
    <row r="27" spans="1:18" ht="45" x14ac:dyDescent="0.25">
      <c r="A27" s="31" t="s">
        <v>29</v>
      </c>
      <c r="D27" s="9"/>
      <c r="E27" s="38">
        <f t="shared" ref="E27:P27" si="11">E28+E31</f>
        <v>0</v>
      </c>
      <c r="F27" s="38">
        <f t="shared" si="11"/>
        <v>0</v>
      </c>
      <c r="G27" s="38">
        <f t="shared" si="11"/>
        <v>0</v>
      </c>
      <c r="H27" s="39">
        <f t="shared" si="11"/>
        <v>1736326988</v>
      </c>
      <c r="I27" s="39">
        <f t="shared" si="11"/>
        <v>264220000</v>
      </c>
      <c r="J27" s="39">
        <f t="shared" si="11"/>
        <v>0</v>
      </c>
      <c r="K27" s="39">
        <f t="shared" si="11"/>
        <v>2160000000</v>
      </c>
      <c r="L27" s="39">
        <f t="shared" si="11"/>
        <v>274000000</v>
      </c>
      <c r="M27" s="39">
        <f t="shared" si="11"/>
        <v>0</v>
      </c>
      <c r="N27" s="39">
        <f t="shared" si="11"/>
        <v>3000000000</v>
      </c>
      <c r="O27" s="39">
        <f t="shared" si="11"/>
        <v>0</v>
      </c>
      <c r="P27" s="39">
        <f t="shared" si="11"/>
        <v>110690040</v>
      </c>
      <c r="Q27" s="39">
        <f>Q28+Q31</f>
        <v>7545237028</v>
      </c>
    </row>
    <row r="28" spans="1:18" x14ac:dyDescent="0.25">
      <c r="A28" s="32" t="s">
        <v>19</v>
      </c>
      <c r="D28" s="12"/>
      <c r="E28" s="40">
        <f t="shared" ref="E28:F28" si="12">E29+E30</f>
        <v>0</v>
      </c>
      <c r="F28" s="40">
        <f t="shared" si="12"/>
        <v>0</v>
      </c>
      <c r="G28" s="40">
        <f>G29+G30</f>
        <v>0</v>
      </c>
      <c r="H28" s="41">
        <f>H29+H30</f>
        <v>0</v>
      </c>
      <c r="I28" s="41">
        <f t="shared" ref="I28:P28" si="13">I29+I30</f>
        <v>264220000</v>
      </c>
      <c r="J28" s="41">
        <f t="shared" si="13"/>
        <v>0</v>
      </c>
      <c r="K28" s="41">
        <f t="shared" si="13"/>
        <v>0</v>
      </c>
      <c r="L28" s="41">
        <f t="shared" si="13"/>
        <v>274000000</v>
      </c>
      <c r="M28" s="41">
        <f t="shared" si="13"/>
        <v>0</v>
      </c>
      <c r="N28" s="41">
        <f t="shared" si="13"/>
        <v>0</v>
      </c>
      <c r="O28" s="41">
        <f t="shared" si="13"/>
        <v>0</v>
      </c>
      <c r="P28" s="41">
        <f t="shared" si="13"/>
        <v>110690040</v>
      </c>
      <c r="Q28" s="41">
        <f>Q29+Q30</f>
        <v>648910040</v>
      </c>
    </row>
    <row r="29" spans="1:18" x14ac:dyDescent="0.25">
      <c r="A29" s="33" t="s">
        <v>20</v>
      </c>
      <c r="D29" s="9"/>
      <c r="E29" s="38"/>
      <c r="F29" s="38"/>
      <c r="G29" s="38"/>
      <c r="H29" s="39"/>
      <c r="I29" s="39"/>
      <c r="J29" s="39"/>
      <c r="K29" s="39"/>
      <c r="L29" s="39"/>
      <c r="M29" s="39"/>
      <c r="N29" s="39"/>
      <c r="O29" s="39"/>
      <c r="P29" s="39"/>
      <c r="Q29" s="39">
        <f>E29+F29+G29+H29+I29+J29+K29+L29+M29+N29+O29+P29</f>
        <v>0</v>
      </c>
    </row>
    <row r="30" spans="1:18" x14ac:dyDescent="0.25">
      <c r="A30" s="33" t="s">
        <v>21</v>
      </c>
      <c r="D30" s="9"/>
      <c r="E30" s="38"/>
      <c r="F30" s="38"/>
      <c r="G30" s="38"/>
      <c r="H30" s="39"/>
      <c r="I30" s="39">
        <v>264220000</v>
      </c>
      <c r="J30" s="39"/>
      <c r="K30" s="39"/>
      <c r="L30" s="39">
        <v>274000000</v>
      </c>
      <c r="M30" s="39"/>
      <c r="N30" s="39"/>
      <c r="O30" s="39"/>
      <c r="P30" s="39">
        <f>648910040-538230000+10000</f>
        <v>110690040</v>
      </c>
      <c r="Q30" s="39">
        <f>E30+F30+G30+H30+I30+J30+K30+L30+M30+N30+O30+P30</f>
        <v>648910040</v>
      </c>
    </row>
    <row r="31" spans="1:18" x14ac:dyDescent="0.25">
      <c r="A31" s="32" t="s">
        <v>22</v>
      </c>
      <c r="D31" s="12"/>
      <c r="E31" s="40">
        <f t="shared" ref="E31:P31" si="14">E33+E32</f>
        <v>0</v>
      </c>
      <c r="F31" s="40">
        <f t="shared" si="14"/>
        <v>0</v>
      </c>
      <c r="G31" s="40">
        <f t="shared" si="14"/>
        <v>0</v>
      </c>
      <c r="H31" s="41">
        <f t="shared" si="14"/>
        <v>1736326988</v>
      </c>
      <c r="I31" s="41">
        <f t="shared" si="14"/>
        <v>0</v>
      </c>
      <c r="J31" s="41">
        <f t="shared" si="14"/>
        <v>0</v>
      </c>
      <c r="K31" s="41">
        <f t="shared" si="14"/>
        <v>2160000000</v>
      </c>
      <c r="L31" s="41">
        <f t="shared" si="14"/>
        <v>0</v>
      </c>
      <c r="M31" s="41">
        <f t="shared" si="14"/>
        <v>0</v>
      </c>
      <c r="N31" s="41">
        <f t="shared" si="14"/>
        <v>3000000000</v>
      </c>
      <c r="O31" s="41">
        <f t="shared" si="14"/>
        <v>0</v>
      </c>
      <c r="P31" s="41">
        <f t="shared" si="14"/>
        <v>0</v>
      </c>
      <c r="Q31" s="41">
        <f>Q32+Q33</f>
        <v>6896326988</v>
      </c>
    </row>
    <row r="32" spans="1:18" x14ac:dyDescent="0.25">
      <c r="A32" s="33" t="s">
        <v>20</v>
      </c>
      <c r="D32" s="9"/>
      <c r="E32" s="38"/>
      <c r="F32" s="38"/>
      <c r="G32" s="38"/>
      <c r="H32" s="39">
        <f>1931000000-194673012</f>
        <v>1736326988</v>
      </c>
      <c r="I32" s="39"/>
      <c r="J32" s="39"/>
      <c r="K32" s="39">
        <v>2160000000</v>
      </c>
      <c r="L32" s="39">
        <v>0</v>
      </c>
      <c r="M32" s="39">
        <v>0</v>
      </c>
      <c r="N32" s="39">
        <v>3000000000</v>
      </c>
      <c r="O32" s="39"/>
      <c r="P32" s="39"/>
      <c r="Q32" s="39">
        <f>E32+F32+G32+H32+I32+J32+K32+L32+M32+N32+O32+P32</f>
        <v>6896326988</v>
      </c>
    </row>
    <row r="33" spans="1:17" x14ac:dyDescent="0.25">
      <c r="A33" s="33" t="s">
        <v>21</v>
      </c>
      <c r="D33" s="9"/>
      <c r="E33" s="38"/>
      <c r="F33" s="38"/>
      <c r="G33" s="38"/>
      <c r="H33" s="39"/>
      <c r="I33" s="39"/>
      <c r="J33" s="39"/>
      <c r="K33" s="39"/>
      <c r="L33" s="39"/>
      <c r="M33" s="39"/>
      <c r="N33" s="39"/>
      <c r="O33" s="39"/>
      <c r="P33" s="39"/>
      <c r="Q33" s="39">
        <f>E33+F33+G33+H33+I33+J33+K33+L33+M33+N33+O33+P33</f>
        <v>0</v>
      </c>
    </row>
    <row r="34" spans="1:17" x14ac:dyDescent="0.25">
      <c r="A34" s="34" t="s">
        <v>30</v>
      </c>
      <c r="D34" s="17"/>
      <c r="E34" s="42"/>
      <c r="F34" s="42"/>
      <c r="G34" s="42"/>
      <c r="H34" s="43">
        <v>200000000</v>
      </c>
      <c r="I34" s="43">
        <v>614200000</v>
      </c>
      <c r="J34" s="43">
        <v>450000000</v>
      </c>
      <c r="K34" s="43">
        <v>500000000</v>
      </c>
      <c r="L34" s="43">
        <v>774010000</v>
      </c>
      <c r="M34" s="43">
        <v>500000000</v>
      </c>
      <c r="N34" s="43">
        <v>500000000</v>
      </c>
      <c r="O34" s="43">
        <f>N34</f>
        <v>500000000</v>
      </c>
      <c r="P34" s="43">
        <v>515900000</v>
      </c>
      <c r="Q34" s="43">
        <f>E34+F34+G34+H34+I34+J34+K34+L34+M34+N34+O34+P34</f>
        <v>4554110000</v>
      </c>
    </row>
    <row r="35" spans="1:17" x14ac:dyDescent="0.25">
      <c r="A35" s="34" t="s">
        <v>25</v>
      </c>
      <c r="D35" s="17"/>
      <c r="E35" s="42">
        <f>D35+E34</f>
        <v>0</v>
      </c>
      <c r="F35" s="42">
        <f>E35+F34</f>
        <v>0</v>
      </c>
      <c r="G35" s="42">
        <f>F35+G34</f>
        <v>0</v>
      </c>
      <c r="H35" s="43">
        <f>G35+H34</f>
        <v>200000000</v>
      </c>
      <c r="I35" s="43">
        <f>I34+H35-I28</f>
        <v>549980000</v>
      </c>
      <c r="J35" s="43">
        <f t="shared" ref="J35:O35" si="15">J34+I35</f>
        <v>999980000</v>
      </c>
      <c r="K35" s="43">
        <f t="shared" si="15"/>
        <v>1499980000</v>
      </c>
      <c r="L35" s="43">
        <f>L34+K35-L28</f>
        <v>1999990000</v>
      </c>
      <c r="M35" s="43">
        <f t="shared" si="15"/>
        <v>2499990000</v>
      </c>
      <c r="N35" s="43">
        <f t="shared" si="15"/>
        <v>2999990000</v>
      </c>
      <c r="O35" s="43">
        <f t="shared" si="15"/>
        <v>3499990000</v>
      </c>
      <c r="P35" s="43">
        <f>P34+O35-P28</f>
        <v>3905199960</v>
      </c>
      <c r="Q35" s="43">
        <f>P35</f>
        <v>3905199960</v>
      </c>
    </row>
    <row r="36" spans="1:17" x14ac:dyDescent="0.25">
      <c r="A36" s="19" t="s">
        <v>26</v>
      </c>
      <c r="B36" s="19"/>
      <c r="C36" s="20">
        <f>C30*100/70</f>
        <v>0</v>
      </c>
      <c r="D36" s="20">
        <f>B36+C36</f>
        <v>0</v>
      </c>
      <c r="E36" s="20"/>
      <c r="F36" s="20">
        <f>F30*100/70</f>
        <v>0</v>
      </c>
      <c r="G36" s="20">
        <f>G30*100/70</f>
        <v>0</v>
      </c>
      <c r="H36" s="20">
        <f>H30*100/70</f>
        <v>0</v>
      </c>
      <c r="I36" s="20">
        <f>I30</f>
        <v>264220000</v>
      </c>
      <c r="J36" s="20"/>
      <c r="K36" s="20">
        <f>K30*100/70</f>
        <v>0</v>
      </c>
      <c r="L36" s="20">
        <f>L30</f>
        <v>274000000</v>
      </c>
      <c r="M36" s="20"/>
      <c r="N36" s="20"/>
      <c r="O36" s="20"/>
      <c r="P36" s="20">
        <f>P30</f>
        <v>110690040</v>
      </c>
      <c r="Q36" s="21">
        <f>E36+F36+G36+H36+I36+J36+K36+L36+M36+N36+O36+P36</f>
        <v>648910040</v>
      </c>
    </row>
    <row r="37" spans="1:17" x14ac:dyDescent="0.25">
      <c r="A37" s="22" t="s">
        <v>27</v>
      </c>
      <c r="B37" s="22"/>
      <c r="C37" s="23">
        <f>C36*30%</f>
        <v>0</v>
      </c>
      <c r="D37" s="23">
        <f>B37+C37</f>
        <v>0</v>
      </c>
      <c r="E37" s="23"/>
      <c r="F37" s="23">
        <f t="shared" ref="F37:H37" si="16">F36*30%</f>
        <v>0</v>
      </c>
      <c r="G37" s="23">
        <f t="shared" si="16"/>
        <v>0</v>
      </c>
      <c r="H37" s="23">
        <f t="shared" si="16"/>
        <v>0</v>
      </c>
      <c r="I37" s="23"/>
      <c r="J37" s="23"/>
      <c r="K37" s="23">
        <f>K36*30%</f>
        <v>0</v>
      </c>
      <c r="L37" s="23"/>
      <c r="M37" s="23"/>
      <c r="N37" s="23"/>
      <c r="O37" s="23"/>
      <c r="P37" s="23"/>
      <c r="Q37" s="24">
        <f>E37+F37+G37+H37+I37+J37+K37+L37+M37+N37+O37+P37</f>
        <v>0</v>
      </c>
    </row>
  </sheetData>
  <mergeCells count="13">
    <mergeCell ref="E24:Q24"/>
    <mergeCell ref="F19:G19"/>
    <mergeCell ref="N19:O19"/>
    <mergeCell ref="N20:O20"/>
    <mergeCell ref="F22:G22"/>
    <mergeCell ref="N22:O22"/>
    <mergeCell ref="N23:O23"/>
    <mergeCell ref="A1:D1"/>
    <mergeCell ref="A3:A4"/>
    <mergeCell ref="B3:D3"/>
    <mergeCell ref="E3:Q3"/>
    <mergeCell ref="F18:G18"/>
    <mergeCell ref="J18:K18"/>
  </mergeCells>
  <pageMargins left="0.31496062992125984" right="0.31496062992125984" top="0.35433070866141736" bottom="0.35433070866141736" header="0.11811023622047245" footer="0.11811023622047245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8"/>
  <sheetViews>
    <sheetView workbookViewId="0">
      <selection activeCell="A21" sqref="A21:XFD22"/>
    </sheetView>
  </sheetViews>
  <sheetFormatPr defaultRowHeight="15" x14ac:dyDescent="0.25"/>
  <cols>
    <col min="1" max="1" width="45.140625" bestFit="1" customWidth="1"/>
    <col min="2" max="2" width="6.5703125" hidden="1" customWidth="1"/>
    <col min="3" max="3" width="13.85546875" hidden="1" customWidth="1"/>
    <col min="4" max="4" width="15.28515625" customWidth="1"/>
    <col min="5" max="5" width="15.7109375" customWidth="1"/>
    <col min="6" max="6" width="12.85546875" bestFit="1" customWidth="1"/>
    <col min="7" max="7" width="12.42578125" bestFit="1" customWidth="1"/>
    <col min="8" max="8" width="14.7109375" customWidth="1"/>
    <col min="9" max="9" width="12.85546875" bestFit="1" customWidth="1"/>
    <col min="10" max="10" width="12.140625" bestFit="1" customWidth="1"/>
    <col min="11" max="11" width="14.28515625" customWidth="1"/>
    <col min="12" max="12" width="13.85546875" bestFit="1" customWidth="1"/>
    <col min="13" max="16" width="14.42578125" bestFit="1" customWidth="1"/>
    <col min="17" max="17" width="15" bestFit="1" customWidth="1"/>
    <col min="18" max="18" width="15.28515625" customWidth="1"/>
  </cols>
  <sheetData>
    <row r="1" spans="1:18" ht="18.75" x14ac:dyDescent="0.25">
      <c r="A1" s="172" t="s">
        <v>0</v>
      </c>
      <c r="B1" s="172"/>
      <c r="C1" s="172"/>
      <c r="D1" s="17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ht="30.75" customHeight="1" x14ac:dyDescent="0.25">
      <c r="A2" s="28" t="s">
        <v>28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 t="s">
        <v>1</v>
      </c>
    </row>
    <row r="3" spans="1:18" x14ac:dyDescent="0.25">
      <c r="A3" s="173" t="s">
        <v>2</v>
      </c>
      <c r="B3" s="173" t="s">
        <v>3</v>
      </c>
      <c r="C3" s="173"/>
      <c r="D3" s="173"/>
      <c r="E3" s="174">
        <v>2021</v>
      </c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6"/>
    </row>
    <row r="4" spans="1:18" x14ac:dyDescent="0.25">
      <c r="A4" s="173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4</v>
      </c>
      <c r="P4" s="5" t="s">
        <v>5</v>
      </c>
      <c r="Q4" s="5" t="s">
        <v>6</v>
      </c>
      <c r="R4" s="5" t="s">
        <v>44</v>
      </c>
    </row>
    <row r="5" spans="1:18" ht="51" x14ac:dyDescent="0.25">
      <c r="A5" s="6" t="s">
        <v>17</v>
      </c>
      <c r="B5" s="7">
        <f>B6</f>
        <v>0</v>
      </c>
      <c r="C5" s="7">
        <f t="shared" ref="C5:P5" si="0">C6</f>
        <v>1610679611.2</v>
      </c>
      <c r="D5" s="7">
        <f t="shared" si="0"/>
        <v>1610679611.2</v>
      </c>
      <c r="E5" s="7">
        <f t="shared" si="0"/>
        <v>0</v>
      </c>
      <c r="F5" s="7">
        <f t="shared" si="0"/>
        <v>0</v>
      </c>
      <c r="G5" s="7">
        <f t="shared" si="0"/>
        <v>33031400.510000002</v>
      </c>
      <c r="H5" s="7">
        <f t="shared" si="0"/>
        <v>1494678066.29</v>
      </c>
      <c r="I5" s="7">
        <f t="shared" si="0"/>
        <v>91452462</v>
      </c>
      <c r="J5" s="7">
        <f t="shared" si="0"/>
        <v>0</v>
      </c>
      <c r="K5" s="7">
        <f t="shared" si="0"/>
        <v>0</v>
      </c>
      <c r="L5" s="7">
        <f t="shared" si="0"/>
        <v>3258096309</v>
      </c>
      <c r="M5" s="7">
        <f t="shared" si="0"/>
        <v>0</v>
      </c>
      <c r="N5" s="7">
        <f t="shared" si="0"/>
        <v>832335000</v>
      </c>
      <c r="O5" s="7">
        <f t="shared" si="0"/>
        <v>1174834920</v>
      </c>
      <c r="P5" s="7">
        <f t="shared" si="0"/>
        <v>1192213680</v>
      </c>
      <c r="Q5" s="7">
        <f>Q6</f>
        <v>8076641837.8000002</v>
      </c>
      <c r="R5" s="7">
        <f>Q5+D5</f>
        <v>9687321449</v>
      </c>
    </row>
    <row r="6" spans="1:18" ht="38.25" x14ac:dyDescent="0.25">
      <c r="A6" s="8" t="s">
        <v>18</v>
      </c>
      <c r="B6" s="9">
        <f>B7+B10</f>
        <v>0</v>
      </c>
      <c r="C6" s="9">
        <f t="shared" ref="C6" si="1">C7+C10</f>
        <v>1610679611.2</v>
      </c>
      <c r="D6" s="10">
        <f>D7+D10</f>
        <v>1610679611.2</v>
      </c>
      <c r="E6" s="9">
        <f t="shared" ref="E6:P6" si="2">E7+E10</f>
        <v>0</v>
      </c>
      <c r="F6" s="9">
        <f t="shared" si="2"/>
        <v>0</v>
      </c>
      <c r="G6" s="9">
        <f t="shared" si="2"/>
        <v>33031400.510000002</v>
      </c>
      <c r="H6" s="9">
        <f t="shared" si="2"/>
        <v>1494678066.29</v>
      </c>
      <c r="I6" s="9">
        <f t="shared" si="2"/>
        <v>91452462</v>
      </c>
      <c r="J6" s="9">
        <f t="shared" si="2"/>
        <v>0</v>
      </c>
      <c r="K6" s="9">
        <f t="shared" si="2"/>
        <v>0</v>
      </c>
      <c r="L6" s="9">
        <f t="shared" si="2"/>
        <v>3258096309</v>
      </c>
      <c r="M6" s="9">
        <f t="shared" si="2"/>
        <v>0</v>
      </c>
      <c r="N6" s="9">
        <f t="shared" si="2"/>
        <v>832335000</v>
      </c>
      <c r="O6" s="9">
        <f t="shared" si="2"/>
        <v>1174834920</v>
      </c>
      <c r="P6" s="9">
        <f t="shared" si="2"/>
        <v>1192213680</v>
      </c>
      <c r="Q6" s="10">
        <f>Q7+Q10</f>
        <v>8076641837.8000002</v>
      </c>
      <c r="R6" s="10">
        <f t="shared" ref="R6:R16" si="3">Q6+D6</f>
        <v>9687321449</v>
      </c>
    </row>
    <row r="7" spans="1:18" x14ac:dyDescent="0.25">
      <c r="A7" s="11" t="s">
        <v>19</v>
      </c>
      <c r="B7" s="12">
        <f>B8+B9</f>
        <v>0</v>
      </c>
      <c r="C7" s="12">
        <f t="shared" ref="C7" si="4">C8+C9</f>
        <v>110679611.2</v>
      </c>
      <c r="D7" s="12">
        <f>D8+D9</f>
        <v>110679611.2</v>
      </c>
      <c r="E7" s="12">
        <f t="shared" ref="E7:F7" si="5">E8+E9</f>
        <v>0</v>
      </c>
      <c r="F7" s="12">
        <f t="shared" si="5"/>
        <v>0</v>
      </c>
      <c r="G7" s="12">
        <f>G8+G9</f>
        <v>33031400.510000002</v>
      </c>
      <c r="H7" s="12">
        <f>H8+H9</f>
        <v>69678066.290000007</v>
      </c>
      <c r="I7" s="12">
        <f t="shared" ref="I7:P7" si="6">I8+I9</f>
        <v>91452462</v>
      </c>
      <c r="J7" s="12">
        <f t="shared" si="6"/>
        <v>0</v>
      </c>
      <c r="K7" s="12">
        <f t="shared" si="6"/>
        <v>0</v>
      </c>
      <c r="L7" s="12">
        <f t="shared" si="6"/>
        <v>0</v>
      </c>
      <c r="M7" s="12">
        <f t="shared" si="6"/>
        <v>0</v>
      </c>
      <c r="N7" s="12">
        <f t="shared" si="6"/>
        <v>0</v>
      </c>
      <c r="O7" s="12">
        <f t="shared" si="6"/>
        <v>0</v>
      </c>
      <c r="P7" s="12">
        <f t="shared" si="6"/>
        <v>0</v>
      </c>
      <c r="Q7" s="13">
        <f>Q8+Q9</f>
        <v>194161928.80000001</v>
      </c>
      <c r="R7" s="13">
        <f t="shared" si="3"/>
        <v>304841540</v>
      </c>
    </row>
    <row r="8" spans="1:18" x14ac:dyDescent="0.25">
      <c r="A8" s="14" t="s">
        <v>20</v>
      </c>
      <c r="B8" s="9"/>
      <c r="C8" s="9">
        <f>91452462</f>
        <v>91452462</v>
      </c>
      <c r="D8" s="60">
        <f>B8+C8</f>
        <v>91452462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5">
        <f>E8+F8+G8+H8+I8+J8+K8+L8+M8+N8+O8+P8</f>
        <v>0</v>
      </c>
      <c r="R8" s="15">
        <f t="shared" si="3"/>
        <v>91452462</v>
      </c>
    </row>
    <row r="9" spans="1:18" x14ac:dyDescent="0.25">
      <c r="A9" s="14" t="s">
        <v>21</v>
      </c>
      <c r="B9" s="9"/>
      <c r="C9" s="9">
        <v>19227149.199999999</v>
      </c>
      <c r="D9" s="10">
        <f>B9+C9</f>
        <v>19227149.199999999</v>
      </c>
      <c r="E9" s="9"/>
      <c r="F9" s="9"/>
      <c r="G9" s="9">
        <v>33031400.510000002</v>
      </c>
      <c r="H9" s="9">
        <v>69678066.290000007</v>
      </c>
      <c r="I9" s="9">
        <v>91452462</v>
      </c>
      <c r="J9" s="9">
        <v>0</v>
      </c>
      <c r="K9" s="9"/>
      <c r="L9" s="9"/>
      <c r="M9" s="9"/>
      <c r="N9" s="9"/>
      <c r="O9" s="9"/>
      <c r="P9" s="9"/>
      <c r="Q9" s="15">
        <f>E9+F9+G9+H9+I9+J9+K9+L9+M9+N9+O9+P9</f>
        <v>194161928.80000001</v>
      </c>
      <c r="R9" s="15">
        <f>Q9+D9</f>
        <v>213389078</v>
      </c>
    </row>
    <row r="10" spans="1:18" x14ac:dyDescent="0.25">
      <c r="A10" s="11" t="s">
        <v>22</v>
      </c>
      <c r="B10" s="12">
        <f>B12+B11</f>
        <v>0</v>
      </c>
      <c r="C10" s="12">
        <f>C12+C11</f>
        <v>1500000000</v>
      </c>
      <c r="D10" s="12">
        <f>D12+D11</f>
        <v>1500000000</v>
      </c>
      <c r="E10" s="12">
        <f t="shared" ref="E10:K10" si="7">E12+E11</f>
        <v>0</v>
      </c>
      <c r="F10" s="12">
        <f t="shared" si="7"/>
        <v>0</v>
      </c>
      <c r="G10" s="12">
        <f t="shared" si="7"/>
        <v>0</v>
      </c>
      <c r="H10" s="12">
        <f t="shared" si="7"/>
        <v>1425000000</v>
      </c>
      <c r="I10" s="12">
        <f t="shared" si="7"/>
        <v>0</v>
      </c>
      <c r="J10" s="12">
        <f t="shared" si="7"/>
        <v>0</v>
      </c>
      <c r="K10" s="12">
        <f t="shared" si="7"/>
        <v>0</v>
      </c>
      <c r="L10" s="12">
        <f>L11+L12</f>
        <v>3258096309</v>
      </c>
      <c r="M10" s="12">
        <f t="shared" ref="M10:P10" si="8">M12+M11</f>
        <v>0</v>
      </c>
      <c r="N10" s="12">
        <f>N12+N11</f>
        <v>832335000</v>
      </c>
      <c r="O10" s="12">
        <f t="shared" si="8"/>
        <v>1174834920</v>
      </c>
      <c r="P10" s="12">
        <f t="shared" si="8"/>
        <v>1192213680</v>
      </c>
      <c r="Q10" s="13">
        <f>Q11+Q12</f>
        <v>7882479909</v>
      </c>
      <c r="R10" s="13">
        <f t="shared" si="3"/>
        <v>9382479909</v>
      </c>
    </row>
    <row r="11" spans="1:18" x14ac:dyDescent="0.25">
      <c r="A11" s="14" t="s">
        <v>20</v>
      </c>
      <c r="B11" s="9"/>
      <c r="C11" s="9">
        <v>1500000000</v>
      </c>
      <c r="D11" s="60">
        <f>B11+C11</f>
        <v>1500000000</v>
      </c>
      <c r="E11" s="9"/>
      <c r="F11" s="9"/>
      <c r="G11" s="9"/>
      <c r="H11" s="60">
        <v>1425000000</v>
      </c>
      <c r="I11" s="9"/>
      <c r="J11" s="9"/>
      <c r="K11" s="9"/>
      <c r="L11" s="61">
        <f>(D19*0.3*1000)-D11-H11-D8</f>
        <v>3258096309</v>
      </c>
      <c r="M11" s="9"/>
      <c r="N11" s="9"/>
      <c r="O11" s="9"/>
      <c r="P11" s="9"/>
      <c r="Q11" s="15">
        <f>E11+F11+G11+H11+I11+J11+K11+L11+M11+N11+O11+P11</f>
        <v>4683096309</v>
      </c>
      <c r="R11" s="15">
        <f t="shared" si="3"/>
        <v>6183096309</v>
      </c>
    </row>
    <row r="12" spans="1:18" x14ac:dyDescent="0.25">
      <c r="A12" s="14" t="s">
        <v>23</v>
      </c>
      <c r="B12" s="9"/>
      <c r="C12" s="9"/>
      <c r="D12" s="10">
        <f>B12+C12</f>
        <v>0</v>
      </c>
      <c r="E12" s="9"/>
      <c r="F12" s="9"/>
      <c r="G12" s="9"/>
      <c r="H12" s="9"/>
      <c r="I12" s="9"/>
      <c r="J12" s="9"/>
      <c r="K12" s="9"/>
      <c r="L12" s="9"/>
      <c r="M12" s="9">
        <v>0</v>
      </c>
      <c r="N12" s="9">
        <f>M15-M16</f>
        <v>832335000</v>
      </c>
      <c r="O12" s="9">
        <f>N15-N16</f>
        <v>1174834920</v>
      </c>
      <c r="P12" s="9">
        <f>O15-O16</f>
        <v>1192213680</v>
      </c>
      <c r="Q12" s="15">
        <f>E12+F12+G12+H12+I12+J12+K12+L12+M12+N12+O12+P12</f>
        <v>3199383600</v>
      </c>
      <c r="R12" s="15">
        <f t="shared" si="3"/>
        <v>3199383600</v>
      </c>
    </row>
    <row r="13" spans="1:18" x14ac:dyDescent="0.25">
      <c r="A13" s="62" t="s">
        <v>45</v>
      </c>
      <c r="B13" s="17"/>
      <c r="C13" s="17"/>
      <c r="D13" s="17">
        <v>316295731.19999999</v>
      </c>
      <c r="E13" s="17">
        <f>221576000*1.2</f>
        <v>265891200</v>
      </c>
      <c r="F13" s="17">
        <f>374928000*1.2</f>
        <v>449913600</v>
      </c>
      <c r="G13" s="17">
        <f>400025000*1.2</f>
        <v>480030000</v>
      </c>
      <c r="H13" s="17">
        <f>464024000*1.2</f>
        <v>556828800</v>
      </c>
      <c r="I13" s="17">
        <f>460602000*1.2</f>
        <v>552722400</v>
      </c>
      <c r="J13" s="17">
        <f>444578000*1.2</f>
        <v>533493600</v>
      </c>
      <c r="K13" s="17">
        <f>470139000*1.2</f>
        <v>564166800</v>
      </c>
      <c r="L13" s="17">
        <f>616198000*1.2</f>
        <v>739437600</v>
      </c>
      <c r="M13" s="17">
        <f>1034790000*1.2</f>
        <v>1241748000</v>
      </c>
      <c r="N13" s="17">
        <f>687718000*1.2</f>
        <v>825261600</v>
      </c>
      <c r="O13" s="17">
        <f>664922000*1.2</f>
        <v>797906400</v>
      </c>
      <c r="P13" s="17">
        <f>399102000*1.2</f>
        <v>478922400</v>
      </c>
      <c r="Q13" s="18">
        <f>E13+F13+G13+H13+I13+J13+K13+L13+M13+N13+O13+P13</f>
        <v>7486322400</v>
      </c>
      <c r="R13" s="18">
        <f t="shared" si="3"/>
        <v>7802618131.1999998</v>
      </c>
    </row>
    <row r="14" spans="1:18" x14ac:dyDescent="0.25">
      <c r="A14" s="16" t="s">
        <v>25</v>
      </c>
      <c r="B14" s="17"/>
      <c r="C14" s="17"/>
      <c r="D14" s="17">
        <v>316295731.19999999</v>
      </c>
      <c r="E14" s="17">
        <f>D14+E13-E15</f>
        <v>582186931.20000005</v>
      </c>
      <c r="F14" s="17">
        <f>E14+F13-F15</f>
        <v>1032100531.2</v>
      </c>
      <c r="G14" s="17">
        <f>F14+G13-G15</f>
        <v>1448145425.2</v>
      </c>
      <c r="H14" s="17">
        <f>G14+H13-H15</f>
        <v>1883037609.2</v>
      </c>
      <c r="I14" s="17">
        <f t="shared" ref="I14:P14" si="9">H14+I13-I15</f>
        <v>2344307547.1999998</v>
      </c>
      <c r="J14" s="17">
        <f t="shared" si="9"/>
        <v>2877801147.1999998</v>
      </c>
      <c r="K14" s="17">
        <f t="shared" si="9"/>
        <v>3441967947.1999998</v>
      </c>
      <c r="L14" s="17">
        <f t="shared" si="9"/>
        <v>4181405547.1999998</v>
      </c>
      <c r="M14" s="17">
        <f t="shared" si="9"/>
        <v>4234103547.1999998</v>
      </c>
      <c r="N14" s="17">
        <f t="shared" si="9"/>
        <v>3381029547.1999998</v>
      </c>
      <c r="O14" s="17">
        <f t="shared" si="9"/>
        <v>2475773547.1999998</v>
      </c>
      <c r="P14" s="17">
        <f t="shared" si="9"/>
        <v>88481547.199999809</v>
      </c>
      <c r="Q14" s="17">
        <f>P14</f>
        <v>88481547.199999809</v>
      </c>
      <c r="R14" s="17">
        <f>Q14</f>
        <v>88481547.199999809</v>
      </c>
    </row>
    <row r="15" spans="1:18" x14ac:dyDescent="0.25">
      <c r="A15" s="19" t="s">
        <v>26</v>
      </c>
      <c r="B15" s="19"/>
      <c r="C15" s="20">
        <f>C9*100/70</f>
        <v>27467356</v>
      </c>
      <c r="D15" s="20">
        <f>B15+C15</f>
        <v>27467356</v>
      </c>
      <c r="E15" s="20"/>
      <c r="F15" s="20"/>
      <c r="G15" s="20">
        <v>63985106</v>
      </c>
      <c r="H15" s="20">
        <v>121936616</v>
      </c>
      <c r="I15" s="20">
        <v>91452462</v>
      </c>
      <c r="J15" s="20"/>
      <c r="K15" s="20">
        <f>K9*100/70</f>
        <v>0</v>
      </c>
      <c r="L15" s="20"/>
      <c r="M15" s="20">
        <v>1189050000</v>
      </c>
      <c r="N15" s="20">
        <f>1398613000*1.2</f>
        <v>1678335600</v>
      </c>
      <c r="O15" s="20">
        <f>1419302000*1.2</f>
        <v>1703162400</v>
      </c>
      <c r="P15" s="20">
        <f>2388512000*1.2</f>
        <v>2866214400</v>
      </c>
      <c r="Q15" s="21">
        <f>E15+F15+G15+H15+I15+J15+K15+L15+M15+N15+O15+P15</f>
        <v>7714136584</v>
      </c>
      <c r="R15" s="21">
        <f t="shared" si="3"/>
        <v>7741603940</v>
      </c>
    </row>
    <row r="16" spans="1:18" x14ac:dyDescent="0.25">
      <c r="A16" s="22" t="s">
        <v>27</v>
      </c>
      <c r="B16" s="22"/>
      <c r="C16" s="23">
        <f>C15*30%</f>
        <v>8240206.7999999998</v>
      </c>
      <c r="D16" s="23">
        <f>D15-D9</f>
        <v>8240206.8000000007</v>
      </c>
      <c r="E16" s="23"/>
      <c r="F16" s="23">
        <f t="shared" ref="F16" si="10">F15*30%</f>
        <v>0</v>
      </c>
      <c r="G16" s="23">
        <v>30953705.489999998</v>
      </c>
      <c r="H16" s="23">
        <f>H15-H9</f>
        <v>52258549.709999993</v>
      </c>
      <c r="I16" s="23"/>
      <c r="J16" s="23"/>
      <c r="K16" s="23">
        <f>K15*30%</f>
        <v>0</v>
      </c>
      <c r="L16" s="23"/>
      <c r="M16" s="23">
        <f>M15*30%</f>
        <v>356715000</v>
      </c>
      <c r="N16" s="23">
        <f>N15*30%</f>
        <v>503500680</v>
      </c>
      <c r="O16" s="23">
        <f>O15*30%</f>
        <v>510948720</v>
      </c>
      <c r="P16" s="23">
        <f>P15*30%</f>
        <v>859864320</v>
      </c>
      <c r="Q16" s="24">
        <f>E16+F16+G16+H16+I16+J16+K16+L16+M16+N16+O16+P16</f>
        <v>2314240975.1999998</v>
      </c>
      <c r="R16" s="24">
        <f t="shared" si="3"/>
        <v>2322481182</v>
      </c>
    </row>
    <row r="17" spans="1:18" x14ac:dyDescent="0.25">
      <c r="A17" s="25"/>
      <c r="B17" s="25"/>
      <c r="C17" s="26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 x14ac:dyDescent="0.25">
      <c r="A18" s="25"/>
      <c r="B18" s="25"/>
      <c r="C18" s="26"/>
      <c r="D18" s="46" t="s">
        <v>36</v>
      </c>
      <c r="E18" s="26"/>
      <c r="F18" s="26"/>
      <c r="G18" s="26"/>
      <c r="H18" s="45" t="s">
        <v>37</v>
      </c>
      <c r="I18" s="52" t="s">
        <v>38</v>
      </c>
      <c r="J18" s="45"/>
      <c r="K18" s="26"/>
      <c r="L18" s="26"/>
      <c r="M18" s="26"/>
      <c r="N18" s="26"/>
      <c r="O18" s="26"/>
      <c r="P18" s="26"/>
      <c r="Q18" s="27"/>
    </row>
    <row r="19" spans="1:18" ht="25.5" customHeight="1" x14ac:dyDescent="0.25">
      <c r="A19" s="25" t="s">
        <v>32</v>
      </c>
      <c r="B19" s="25"/>
      <c r="C19" s="26"/>
      <c r="D19" s="26">
        <v>20915162.57</v>
      </c>
      <c r="E19" s="26"/>
      <c r="F19" s="177" t="s">
        <v>40</v>
      </c>
      <c r="G19" s="177"/>
      <c r="H19" s="58">
        <f>10290372*1.2</f>
        <v>12348446.4</v>
      </c>
      <c r="I19" s="53">
        <f>4100000*1.2</f>
        <v>4920000</v>
      </c>
      <c r="J19" s="178" t="s">
        <v>34</v>
      </c>
      <c r="K19" s="178"/>
      <c r="L19" s="46">
        <f>3730900+3240500</f>
        <v>6971400</v>
      </c>
      <c r="M19" s="26"/>
      <c r="N19" s="26"/>
      <c r="O19" s="26"/>
      <c r="P19" s="47">
        <f>P20/D19</f>
        <v>0.50030821252182112</v>
      </c>
      <c r="Q19" s="59" t="s">
        <v>39</v>
      </c>
    </row>
    <row r="20" spans="1:18" ht="32.25" customHeight="1" x14ac:dyDescent="0.25">
      <c r="A20" s="25" t="s">
        <v>33</v>
      </c>
      <c r="B20" s="25"/>
      <c r="C20" s="26"/>
      <c r="D20" s="57">
        <f>D19*30%</f>
        <v>6274548.7709999997</v>
      </c>
      <c r="E20" s="26"/>
      <c r="F20" s="182" t="s">
        <v>35</v>
      </c>
      <c r="G20" s="182"/>
      <c r="H20" s="55">
        <f>6977173*1.2</f>
        <v>8372607.5999999996</v>
      </c>
      <c r="I20" s="53">
        <f>I19*0.57</f>
        <v>2804399.9999999995</v>
      </c>
      <c r="J20" s="26"/>
      <c r="K20" s="45" t="s">
        <v>33</v>
      </c>
      <c r="L20" s="56">
        <f>L19*0.3</f>
        <v>2091420</v>
      </c>
      <c r="M20" s="26"/>
      <c r="N20" s="182" t="s">
        <v>41</v>
      </c>
      <c r="O20" s="182"/>
      <c r="P20" s="55">
        <f>H20+L20</f>
        <v>10464027.6</v>
      </c>
      <c r="Q20" s="49">
        <f>P20-R11/1000-R8/1000</f>
        <v>4189478.8289999994</v>
      </c>
      <c r="R20" s="50" t="s">
        <v>42</v>
      </c>
    </row>
    <row r="21" spans="1:18" ht="18" customHeight="1" x14ac:dyDescent="0.25">
      <c r="A21" s="25" t="s">
        <v>32</v>
      </c>
      <c r="B21" s="25"/>
      <c r="C21" s="26"/>
      <c r="D21" s="26">
        <v>25091976.5</v>
      </c>
      <c r="E21" s="26"/>
      <c r="F21" s="26"/>
      <c r="G21" s="26"/>
      <c r="H21" s="47">
        <f>H20/H19</f>
        <v>0.67802922965272772</v>
      </c>
      <c r="I21" s="54"/>
      <c r="J21" s="26"/>
      <c r="K21" s="45"/>
      <c r="L21" s="26"/>
      <c r="M21" s="26"/>
      <c r="N21" s="182"/>
      <c r="O21" s="182"/>
      <c r="P21" s="26"/>
      <c r="Q21" s="27"/>
    </row>
    <row r="22" spans="1:18" ht="24.75" customHeight="1" x14ac:dyDescent="0.25">
      <c r="A22" s="25" t="s">
        <v>33</v>
      </c>
      <c r="B22" s="25"/>
      <c r="C22" s="26"/>
      <c r="D22" s="57">
        <f>D21*30%</f>
        <v>7527592.9500000002</v>
      </c>
      <c r="E22" s="26"/>
      <c r="F22" s="26"/>
      <c r="G22" s="26"/>
      <c r="H22" s="47"/>
      <c r="I22" s="54"/>
      <c r="J22" s="26"/>
      <c r="K22" s="45"/>
      <c r="L22" s="26"/>
      <c r="M22" s="26"/>
      <c r="N22" s="48"/>
      <c r="O22" s="48"/>
      <c r="P22" s="47"/>
      <c r="Q22" s="27"/>
    </row>
    <row r="23" spans="1:18" ht="29.25" customHeight="1" x14ac:dyDescent="0.25">
      <c r="A23" s="25"/>
      <c r="B23" s="25"/>
      <c r="C23" s="26"/>
      <c r="D23" s="26"/>
      <c r="E23" s="26"/>
      <c r="F23" s="182"/>
      <c r="G23" s="182"/>
      <c r="H23" s="26"/>
      <c r="I23" s="53"/>
      <c r="J23" s="26"/>
      <c r="K23" s="45"/>
      <c r="L23" s="45"/>
      <c r="M23" s="26"/>
      <c r="N23" s="182"/>
      <c r="O23" s="182"/>
      <c r="P23" s="26"/>
      <c r="Q23" s="27"/>
      <c r="R23" s="50"/>
    </row>
    <row r="24" spans="1:18" ht="30" customHeight="1" x14ac:dyDescent="0.25">
      <c r="A24" s="28" t="s">
        <v>31</v>
      </c>
      <c r="F24" s="26"/>
      <c r="G24" s="26"/>
      <c r="H24" s="47"/>
      <c r="N24" s="182"/>
      <c r="O24" s="182"/>
      <c r="P24" s="26"/>
    </row>
    <row r="25" spans="1:18" ht="15.75" x14ac:dyDescent="0.25">
      <c r="A25" s="29" t="s">
        <v>2</v>
      </c>
      <c r="D25" s="44"/>
      <c r="E25" s="179">
        <v>2021</v>
      </c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1"/>
    </row>
    <row r="26" spans="1:18" ht="15.75" x14ac:dyDescent="0.25">
      <c r="A26" s="29"/>
      <c r="D26" s="5"/>
      <c r="E26" s="35" t="s">
        <v>7</v>
      </c>
      <c r="F26" s="35" t="s">
        <v>8</v>
      </c>
      <c r="G26" s="35" t="s">
        <v>9</v>
      </c>
      <c r="H26" s="35" t="s">
        <v>10</v>
      </c>
      <c r="I26" s="35" t="s">
        <v>11</v>
      </c>
      <c r="J26" s="35" t="s">
        <v>12</v>
      </c>
      <c r="K26" s="35" t="s">
        <v>13</v>
      </c>
      <c r="L26" s="35" t="s">
        <v>14</v>
      </c>
      <c r="M26" s="35" t="s">
        <v>15</v>
      </c>
      <c r="N26" s="35" t="s">
        <v>16</v>
      </c>
      <c r="O26" s="35" t="s">
        <v>4</v>
      </c>
      <c r="P26" s="35" t="s">
        <v>5</v>
      </c>
      <c r="Q26" s="35" t="s">
        <v>6</v>
      </c>
    </row>
    <row r="27" spans="1:18" ht="57" x14ac:dyDescent="0.25">
      <c r="A27" s="30" t="s">
        <v>17</v>
      </c>
      <c r="D27" s="7"/>
      <c r="E27" s="36">
        <f t="shared" ref="E27:P27" si="11">E28</f>
        <v>0</v>
      </c>
      <c r="F27" s="36">
        <f t="shared" si="11"/>
        <v>0</v>
      </c>
      <c r="G27" s="36">
        <f t="shared" si="11"/>
        <v>0</v>
      </c>
      <c r="H27" s="37">
        <f t="shared" si="11"/>
        <v>1736326988</v>
      </c>
      <c r="I27" s="37">
        <f t="shared" si="11"/>
        <v>264220000</v>
      </c>
      <c r="J27" s="37">
        <f t="shared" si="11"/>
        <v>0</v>
      </c>
      <c r="K27" s="37">
        <f t="shared" si="11"/>
        <v>2160000000</v>
      </c>
      <c r="L27" s="37">
        <f t="shared" si="11"/>
        <v>274000000</v>
      </c>
      <c r="M27" s="37">
        <f t="shared" si="11"/>
        <v>0</v>
      </c>
      <c r="N27" s="37">
        <f t="shared" si="11"/>
        <v>3000000000</v>
      </c>
      <c r="O27" s="37">
        <f t="shared" si="11"/>
        <v>0</v>
      </c>
      <c r="P27" s="37">
        <f t="shared" si="11"/>
        <v>110690040</v>
      </c>
      <c r="Q27" s="37">
        <f>Q28</f>
        <v>7545237028</v>
      </c>
    </row>
    <row r="28" spans="1:18" ht="45" x14ac:dyDescent="0.25">
      <c r="A28" s="31" t="s">
        <v>29</v>
      </c>
      <c r="D28" s="9"/>
      <c r="E28" s="38">
        <f t="shared" ref="E28:P28" si="12">E29+E32</f>
        <v>0</v>
      </c>
      <c r="F28" s="38">
        <f t="shared" si="12"/>
        <v>0</v>
      </c>
      <c r="G28" s="38">
        <f t="shared" si="12"/>
        <v>0</v>
      </c>
      <c r="H28" s="39">
        <f t="shared" si="12"/>
        <v>1736326988</v>
      </c>
      <c r="I28" s="39">
        <f t="shared" si="12"/>
        <v>264220000</v>
      </c>
      <c r="J28" s="39">
        <f t="shared" si="12"/>
        <v>0</v>
      </c>
      <c r="K28" s="39">
        <f t="shared" si="12"/>
        <v>2160000000</v>
      </c>
      <c r="L28" s="39">
        <f t="shared" si="12"/>
        <v>274000000</v>
      </c>
      <c r="M28" s="39">
        <f t="shared" si="12"/>
        <v>0</v>
      </c>
      <c r="N28" s="39">
        <f t="shared" si="12"/>
        <v>3000000000</v>
      </c>
      <c r="O28" s="39">
        <f t="shared" si="12"/>
        <v>0</v>
      </c>
      <c r="P28" s="39">
        <f t="shared" si="12"/>
        <v>110690040</v>
      </c>
      <c r="Q28" s="39">
        <f>Q29+Q32</f>
        <v>7545237028</v>
      </c>
    </row>
    <row r="29" spans="1:18" x14ac:dyDescent="0.25">
      <c r="A29" s="32" t="s">
        <v>19</v>
      </c>
      <c r="D29" s="12"/>
      <c r="E29" s="40">
        <f t="shared" ref="E29:F29" si="13">E30+E31</f>
        <v>0</v>
      </c>
      <c r="F29" s="40">
        <f t="shared" si="13"/>
        <v>0</v>
      </c>
      <c r="G29" s="40">
        <f>G30+G31</f>
        <v>0</v>
      </c>
      <c r="H29" s="41">
        <f>H30+H31</f>
        <v>0</v>
      </c>
      <c r="I29" s="41">
        <f t="shared" ref="I29:P29" si="14">I30+I31</f>
        <v>264220000</v>
      </c>
      <c r="J29" s="41">
        <f t="shared" si="14"/>
        <v>0</v>
      </c>
      <c r="K29" s="41">
        <f t="shared" si="14"/>
        <v>0</v>
      </c>
      <c r="L29" s="41">
        <f t="shared" si="14"/>
        <v>274000000</v>
      </c>
      <c r="M29" s="41">
        <f t="shared" si="14"/>
        <v>0</v>
      </c>
      <c r="N29" s="41">
        <f t="shared" si="14"/>
        <v>0</v>
      </c>
      <c r="O29" s="41">
        <f t="shared" si="14"/>
        <v>0</v>
      </c>
      <c r="P29" s="41">
        <f t="shared" si="14"/>
        <v>110690040</v>
      </c>
      <c r="Q29" s="41">
        <f>Q30+Q31</f>
        <v>648910040</v>
      </c>
    </row>
    <row r="30" spans="1:18" x14ac:dyDescent="0.25">
      <c r="A30" s="33" t="s">
        <v>20</v>
      </c>
      <c r="D30" s="9"/>
      <c r="E30" s="38"/>
      <c r="F30" s="38"/>
      <c r="G30" s="38"/>
      <c r="H30" s="39"/>
      <c r="I30" s="39"/>
      <c r="J30" s="39"/>
      <c r="K30" s="39"/>
      <c r="L30" s="39"/>
      <c r="M30" s="39"/>
      <c r="N30" s="39"/>
      <c r="O30" s="39"/>
      <c r="P30" s="39"/>
      <c r="Q30" s="39">
        <f>E30+F30+G30+H30+I30+J30+K30+L30+M30+N30+O30+P30</f>
        <v>0</v>
      </c>
    </row>
    <row r="31" spans="1:18" x14ac:dyDescent="0.25">
      <c r="A31" s="33" t="s">
        <v>21</v>
      </c>
      <c r="D31" s="9"/>
      <c r="E31" s="38"/>
      <c r="F31" s="38"/>
      <c r="G31" s="38"/>
      <c r="H31" s="39"/>
      <c r="I31" s="39">
        <v>264220000</v>
      </c>
      <c r="J31" s="39"/>
      <c r="K31" s="39"/>
      <c r="L31" s="39">
        <v>274000000</v>
      </c>
      <c r="M31" s="39"/>
      <c r="N31" s="39"/>
      <c r="O31" s="39"/>
      <c r="P31" s="39">
        <f>648910040-538230000+10000</f>
        <v>110690040</v>
      </c>
      <c r="Q31" s="39">
        <f>E31+F31+G31+H31+I31+J31+K31+L31+M31+N31+O31+P31</f>
        <v>648910040</v>
      </c>
    </row>
    <row r="32" spans="1:18" x14ac:dyDescent="0.25">
      <c r="A32" s="32" t="s">
        <v>22</v>
      </c>
      <c r="D32" s="12"/>
      <c r="E32" s="40">
        <f t="shared" ref="E32:P32" si="15">E34+E33</f>
        <v>0</v>
      </c>
      <c r="F32" s="40">
        <f t="shared" si="15"/>
        <v>0</v>
      </c>
      <c r="G32" s="40">
        <f t="shared" si="15"/>
        <v>0</v>
      </c>
      <c r="H32" s="41">
        <f t="shared" si="15"/>
        <v>1736326988</v>
      </c>
      <c r="I32" s="41">
        <f t="shared" si="15"/>
        <v>0</v>
      </c>
      <c r="J32" s="41">
        <f t="shared" si="15"/>
        <v>0</v>
      </c>
      <c r="K32" s="41">
        <f t="shared" si="15"/>
        <v>2160000000</v>
      </c>
      <c r="L32" s="41">
        <f t="shared" si="15"/>
        <v>0</v>
      </c>
      <c r="M32" s="41">
        <f t="shared" si="15"/>
        <v>0</v>
      </c>
      <c r="N32" s="41">
        <f t="shared" si="15"/>
        <v>3000000000</v>
      </c>
      <c r="O32" s="41">
        <f t="shared" si="15"/>
        <v>0</v>
      </c>
      <c r="P32" s="41">
        <f t="shared" si="15"/>
        <v>0</v>
      </c>
      <c r="Q32" s="41">
        <f>Q33+Q34</f>
        <v>6896326988</v>
      </c>
    </row>
    <row r="33" spans="1:17" x14ac:dyDescent="0.25">
      <c r="A33" s="33" t="s">
        <v>20</v>
      </c>
      <c r="D33" s="9"/>
      <c r="E33" s="38"/>
      <c r="F33" s="38"/>
      <c r="G33" s="38"/>
      <c r="H33" s="39">
        <f>1931000000-194673012</f>
        <v>1736326988</v>
      </c>
      <c r="I33" s="39"/>
      <c r="J33" s="39"/>
      <c r="K33" s="39">
        <v>2160000000</v>
      </c>
      <c r="L33" s="39">
        <v>0</v>
      </c>
      <c r="M33" s="39">
        <v>0</v>
      </c>
      <c r="N33" s="39">
        <v>3000000000</v>
      </c>
      <c r="O33" s="39"/>
      <c r="P33" s="39"/>
      <c r="Q33" s="39">
        <f>E33+F33+G33+H33+I33+J33+K33+L33+M33+N33+O33+P33</f>
        <v>6896326988</v>
      </c>
    </row>
    <row r="34" spans="1:17" x14ac:dyDescent="0.25">
      <c r="A34" s="33" t="s">
        <v>21</v>
      </c>
      <c r="D34" s="9"/>
      <c r="E34" s="38"/>
      <c r="F34" s="38"/>
      <c r="G34" s="38"/>
      <c r="H34" s="39"/>
      <c r="I34" s="39"/>
      <c r="J34" s="39"/>
      <c r="K34" s="39"/>
      <c r="L34" s="39"/>
      <c r="M34" s="39"/>
      <c r="N34" s="39"/>
      <c r="O34" s="39"/>
      <c r="P34" s="39"/>
      <c r="Q34" s="39">
        <f>E34+F34+G34+H34+I34+J34+K34+L34+M34+N34+O34+P34</f>
        <v>0</v>
      </c>
    </row>
    <row r="35" spans="1:17" x14ac:dyDescent="0.25">
      <c r="A35" s="34" t="s">
        <v>30</v>
      </c>
      <c r="D35" s="17"/>
      <c r="E35" s="42"/>
      <c r="F35" s="42"/>
      <c r="G35" s="42"/>
      <c r="H35" s="43">
        <v>200000000</v>
      </c>
      <c r="I35" s="43">
        <v>614200000</v>
      </c>
      <c r="J35" s="43">
        <v>450000000</v>
      </c>
      <c r="K35" s="43">
        <v>500000000</v>
      </c>
      <c r="L35" s="43">
        <v>774010000</v>
      </c>
      <c r="M35" s="43">
        <v>500000000</v>
      </c>
      <c r="N35" s="43">
        <v>500000000</v>
      </c>
      <c r="O35" s="43">
        <f>N35</f>
        <v>500000000</v>
      </c>
      <c r="P35" s="43">
        <v>515900000</v>
      </c>
      <c r="Q35" s="43">
        <f>E35+F35+G35+H35+I35+J35+K35+L35+M35+N35+O35+P35</f>
        <v>4554110000</v>
      </c>
    </row>
    <row r="36" spans="1:17" x14ac:dyDescent="0.25">
      <c r="A36" s="34" t="s">
        <v>25</v>
      </c>
      <c r="D36" s="17"/>
      <c r="E36" s="42">
        <f>D36+E35</f>
        <v>0</v>
      </c>
      <c r="F36" s="42">
        <f>E36+F35</f>
        <v>0</v>
      </c>
      <c r="G36" s="42">
        <f>F36+G35</f>
        <v>0</v>
      </c>
      <c r="H36" s="43">
        <f>G36+H35</f>
        <v>200000000</v>
      </c>
      <c r="I36" s="43">
        <f>I35+H36-I29</f>
        <v>549980000</v>
      </c>
      <c r="J36" s="43">
        <f t="shared" ref="J36:O36" si="16">J35+I36</f>
        <v>999980000</v>
      </c>
      <c r="K36" s="43">
        <f t="shared" si="16"/>
        <v>1499980000</v>
      </c>
      <c r="L36" s="43">
        <f>L35+K36-L29</f>
        <v>1999990000</v>
      </c>
      <c r="M36" s="43">
        <f t="shared" si="16"/>
        <v>2499990000</v>
      </c>
      <c r="N36" s="43">
        <f t="shared" si="16"/>
        <v>2999990000</v>
      </c>
      <c r="O36" s="43">
        <f t="shared" si="16"/>
        <v>3499990000</v>
      </c>
      <c r="P36" s="43">
        <f>P35+O36-P29</f>
        <v>3905199960</v>
      </c>
      <c r="Q36" s="43">
        <f>P36</f>
        <v>3905199960</v>
      </c>
    </row>
    <row r="37" spans="1:17" x14ac:dyDescent="0.25">
      <c r="A37" s="19" t="s">
        <v>26</v>
      </c>
      <c r="B37" s="19"/>
      <c r="C37" s="20">
        <f>C31*100/70</f>
        <v>0</v>
      </c>
      <c r="D37" s="20">
        <f>B37+C37</f>
        <v>0</v>
      </c>
      <c r="E37" s="20"/>
      <c r="F37" s="20">
        <f>F31*100/70</f>
        <v>0</v>
      </c>
      <c r="G37" s="20">
        <f>G31*100/70</f>
        <v>0</v>
      </c>
      <c r="H37" s="20">
        <f>H31*100/70</f>
        <v>0</v>
      </c>
      <c r="I37" s="20">
        <f>I31</f>
        <v>264220000</v>
      </c>
      <c r="J37" s="20"/>
      <c r="K37" s="20">
        <f>K31*100/70</f>
        <v>0</v>
      </c>
      <c r="L37" s="20">
        <f>L31</f>
        <v>274000000</v>
      </c>
      <c r="M37" s="20"/>
      <c r="N37" s="20"/>
      <c r="O37" s="20"/>
      <c r="P37" s="20">
        <f>P31</f>
        <v>110690040</v>
      </c>
      <c r="Q37" s="21">
        <f>E37+F37+G37+H37+I37+J37+K37+L37+M37+N37+O37+P37</f>
        <v>648910040</v>
      </c>
    </row>
    <row r="38" spans="1:17" x14ac:dyDescent="0.25">
      <c r="A38" s="22" t="s">
        <v>27</v>
      </c>
      <c r="B38" s="22"/>
      <c r="C38" s="23">
        <f>C37*30%</f>
        <v>0</v>
      </c>
      <c r="D38" s="23">
        <f>B38+C38</f>
        <v>0</v>
      </c>
      <c r="E38" s="23"/>
      <c r="F38" s="23">
        <f t="shared" ref="F38:H38" si="17">F37*30%</f>
        <v>0</v>
      </c>
      <c r="G38" s="23">
        <f t="shared" si="17"/>
        <v>0</v>
      </c>
      <c r="H38" s="23">
        <f t="shared" si="17"/>
        <v>0</v>
      </c>
      <c r="I38" s="23"/>
      <c r="J38" s="23"/>
      <c r="K38" s="23">
        <f>K37*30%</f>
        <v>0</v>
      </c>
      <c r="L38" s="23"/>
      <c r="M38" s="23"/>
      <c r="N38" s="23"/>
      <c r="O38" s="23"/>
      <c r="P38" s="23"/>
      <c r="Q38" s="24">
        <f>E38+F38+G38+H38+I38+J38+K38+L38+M38+N38+O38+P38</f>
        <v>0</v>
      </c>
    </row>
  </sheetData>
  <mergeCells count="13">
    <mergeCell ref="A1:D1"/>
    <mergeCell ref="A3:A4"/>
    <mergeCell ref="B3:D3"/>
    <mergeCell ref="E3:Q3"/>
    <mergeCell ref="E25:Q25"/>
    <mergeCell ref="F19:G19"/>
    <mergeCell ref="F20:G20"/>
    <mergeCell ref="J19:K19"/>
    <mergeCell ref="N20:O20"/>
    <mergeCell ref="N21:O21"/>
    <mergeCell ref="F23:G23"/>
    <mergeCell ref="N23:O23"/>
    <mergeCell ref="N24:O24"/>
  </mergeCells>
  <pageMargins left="0.31496062992125984" right="0.31496062992125984" top="0.35433070866141736" bottom="0.35433070866141736" header="0.11811023622047245" footer="0.11811023622047245"/>
  <pageSetup paperSize="8" scale="7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R44"/>
  <sheetViews>
    <sheetView workbookViewId="0">
      <selection activeCell="M19" sqref="M19"/>
    </sheetView>
  </sheetViews>
  <sheetFormatPr defaultRowHeight="15" x14ac:dyDescent="0.25"/>
  <cols>
    <col min="1" max="1" width="45.140625" bestFit="1" customWidth="1"/>
    <col min="2" max="2" width="6.5703125" hidden="1" customWidth="1"/>
    <col min="3" max="3" width="13.85546875" hidden="1" customWidth="1"/>
    <col min="4" max="4" width="15.28515625" customWidth="1"/>
    <col min="5" max="5" width="15.7109375" customWidth="1"/>
    <col min="6" max="6" width="12.85546875" bestFit="1" customWidth="1"/>
    <col min="7" max="7" width="13.28515625" customWidth="1"/>
    <col min="8" max="8" width="14.7109375" customWidth="1"/>
    <col min="9" max="9" width="14.140625" customWidth="1"/>
    <col min="10" max="10" width="13.5703125" customWidth="1"/>
    <col min="11" max="11" width="14.28515625" customWidth="1"/>
    <col min="12" max="12" width="13.85546875" bestFit="1" customWidth="1"/>
    <col min="13" max="16" width="14.42578125" bestFit="1" customWidth="1"/>
    <col min="17" max="17" width="15" bestFit="1" customWidth="1"/>
    <col min="18" max="18" width="15.28515625" customWidth="1"/>
  </cols>
  <sheetData>
    <row r="1" spans="1:18" ht="18.75" x14ac:dyDescent="0.25">
      <c r="A1" s="172" t="s">
        <v>0</v>
      </c>
      <c r="B1" s="172"/>
      <c r="C1" s="172"/>
      <c r="D1" s="17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ht="30.75" customHeight="1" x14ac:dyDescent="0.25">
      <c r="A2" s="28" t="s">
        <v>28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 t="s">
        <v>1</v>
      </c>
    </row>
    <row r="3" spans="1:18" x14ac:dyDescent="0.25">
      <c r="A3" s="173" t="s">
        <v>2</v>
      </c>
      <c r="B3" s="173" t="s">
        <v>3</v>
      </c>
      <c r="C3" s="173"/>
      <c r="D3" s="173"/>
      <c r="E3" s="174">
        <v>2021</v>
      </c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6"/>
    </row>
    <row r="4" spans="1:18" x14ac:dyDescent="0.25">
      <c r="A4" s="173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4</v>
      </c>
      <c r="P4" s="5" t="s">
        <v>5</v>
      </c>
      <c r="Q4" s="5" t="s">
        <v>6</v>
      </c>
      <c r="R4" s="5" t="s">
        <v>44</v>
      </c>
    </row>
    <row r="5" spans="1:18" ht="51" x14ac:dyDescent="0.25">
      <c r="A5" s="6" t="s">
        <v>17</v>
      </c>
      <c r="B5" s="7">
        <f>B6</f>
        <v>0</v>
      </c>
      <c r="C5" s="7">
        <f t="shared" ref="C5:P5" si="0">C6</f>
        <v>1610679611.2</v>
      </c>
      <c r="D5" s="7">
        <f t="shared" si="0"/>
        <v>1610679611.2</v>
      </c>
      <c r="E5" s="7">
        <f t="shared" si="0"/>
        <v>0</v>
      </c>
      <c r="F5" s="7">
        <f t="shared" si="0"/>
        <v>0</v>
      </c>
      <c r="G5" s="7">
        <f t="shared" si="0"/>
        <v>33031400.510000002</v>
      </c>
      <c r="H5" s="7">
        <f t="shared" si="0"/>
        <v>1494678066.29</v>
      </c>
      <c r="I5" s="7">
        <f t="shared" si="0"/>
        <v>91452462</v>
      </c>
      <c r="J5" s="7">
        <f t="shared" si="0"/>
        <v>3258096309</v>
      </c>
      <c r="K5" s="7">
        <f t="shared" si="0"/>
        <v>0</v>
      </c>
      <c r="L5" s="7">
        <f t="shared" si="0"/>
        <v>0</v>
      </c>
      <c r="M5" s="7">
        <f t="shared" si="0"/>
        <v>0</v>
      </c>
      <c r="N5" s="7">
        <f t="shared" si="0"/>
        <v>832335000</v>
      </c>
      <c r="O5" s="7">
        <f t="shared" si="0"/>
        <v>1174834920</v>
      </c>
      <c r="P5" s="7">
        <f t="shared" si="0"/>
        <v>1192213680</v>
      </c>
      <c r="Q5" s="7">
        <f>Q6</f>
        <v>8076641837.8000002</v>
      </c>
      <c r="R5" s="7">
        <f>Q5+D5</f>
        <v>9687321449</v>
      </c>
    </row>
    <row r="6" spans="1:18" ht="38.25" x14ac:dyDescent="0.25">
      <c r="A6" s="8" t="s">
        <v>18</v>
      </c>
      <c r="B6" s="9">
        <f>B7+B10</f>
        <v>0</v>
      </c>
      <c r="C6" s="9">
        <f t="shared" ref="C6" si="1">C7+C10</f>
        <v>1610679611.2</v>
      </c>
      <c r="D6" s="10">
        <f>D7+D10</f>
        <v>1610679611.2</v>
      </c>
      <c r="E6" s="9">
        <f t="shared" ref="E6:P6" si="2">E7+E10</f>
        <v>0</v>
      </c>
      <c r="F6" s="9">
        <f t="shared" si="2"/>
        <v>0</v>
      </c>
      <c r="G6" s="9">
        <f t="shared" si="2"/>
        <v>33031400.510000002</v>
      </c>
      <c r="H6" s="9">
        <f t="shared" si="2"/>
        <v>1494678066.29</v>
      </c>
      <c r="I6" s="9">
        <f t="shared" si="2"/>
        <v>91452462</v>
      </c>
      <c r="J6" s="9">
        <f t="shared" si="2"/>
        <v>3258096309</v>
      </c>
      <c r="K6" s="9">
        <f t="shared" si="2"/>
        <v>0</v>
      </c>
      <c r="L6" s="9">
        <f t="shared" si="2"/>
        <v>0</v>
      </c>
      <c r="M6" s="9">
        <f t="shared" si="2"/>
        <v>0</v>
      </c>
      <c r="N6" s="9">
        <f t="shared" si="2"/>
        <v>832335000</v>
      </c>
      <c r="O6" s="9">
        <f t="shared" si="2"/>
        <v>1174834920</v>
      </c>
      <c r="P6" s="9">
        <f t="shared" si="2"/>
        <v>1192213680</v>
      </c>
      <c r="Q6" s="10">
        <f>Q7+Q10</f>
        <v>8076641837.8000002</v>
      </c>
      <c r="R6" s="10">
        <f t="shared" ref="R6:R16" si="3">Q6+D6</f>
        <v>9687321449</v>
      </c>
    </row>
    <row r="7" spans="1:18" x14ac:dyDescent="0.25">
      <c r="A7" s="11" t="s">
        <v>19</v>
      </c>
      <c r="B7" s="12">
        <f>B8+B9</f>
        <v>0</v>
      </c>
      <c r="C7" s="12">
        <f t="shared" ref="C7" si="4">C8+C9</f>
        <v>110679611.2</v>
      </c>
      <c r="D7" s="12">
        <f>D8+D9</f>
        <v>110679611.2</v>
      </c>
      <c r="E7" s="12">
        <f t="shared" ref="E7:F7" si="5">E8+E9</f>
        <v>0</v>
      </c>
      <c r="F7" s="12">
        <f t="shared" si="5"/>
        <v>0</v>
      </c>
      <c r="G7" s="12">
        <f>G8+G9</f>
        <v>33031400.510000002</v>
      </c>
      <c r="H7" s="12">
        <f>H8+H9</f>
        <v>69678066.290000007</v>
      </c>
      <c r="I7" s="12">
        <f t="shared" ref="I7:P7" si="6">I8+I9</f>
        <v>91452462</v>
      </c>
      <c r="J7" s="12">
        <f t="shared" si="6"/>
        <v>0</v>
      </c>
      <c r="K7" s="12">
        <f t="shared" si="6"/>
        <v>0</v>
      </c>
      <c r="L7" s="12">
        <f t="shared" si="6"/>
        <v>0</v>
      </c>
      <c r="M7" s="12">
        <f t="shared" si="6"/>
        <v>0</v>
      </c>
      <c r="N7" s="12">
        <f t="shared" si="6"/>
        <v>0</v>
      </c>
      <c r="O7" s="12">
        <f t="shared" si="6"/>
        <v>0</v>
      </c>
      <c r="P7" s="12">
        <f t="shared" si="6"/>
        <v>0</v>
      </c>
      <c r="Q7" s="13">
        <f>Q8+Q9</f>
        <v>194161928.80000001</v>
      </c>
      <c r="R7" s="13">
        <f t="shared" si="3"/>
        <v>304841540</v>
      </c>
    </row>
    <row r="8" spans="1:18" x14ac:dyDescent="0.25">
      <c r="A8" s="14" t="s">
        <v>20</v>
      </c>
      <c r="B8" s="9"/>
      <c r="C8" s="9">
        <f>91452462</f>
        <v>91452462</v>
      </c>
      <c r="D8" s="60">
        <f>B8+C8</f>
        <v>91452462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5">
        <f>E8+F8+G8+H8+I8+J8+K8+L8+M8+N8+O8+P8</f>
        <v>0</v>
      </c>
      <c r="R8" s="15">
        <f t="shared" si="3"/>
        <v>91452462</v>
      </c>
    </row>
    <row r="9" spans="1:18" x14ac:dyDescent="0.25">
      <c r="A9" s="14" t="s">
        <v>21</v>
      </c>
      <c r="B9" s="9"/>
      <c r="C9" s="9">
        <v>19227149.199999999</v>
      </c>
      <c r="D9" s="10">
        <f>B9+C9</f>
        <v>19227149.199999999</v>
      </c>
      <c r="E9" s="9"/>
      <c r="F9" s="9"/>
      <c r="G9" s="9">
        <v>33031400.510000002</v>
      </c>
      <c r="H9" s="9">
        <v>69678066.290000007</v>
      </c>
      <c r="I9" s="9">
        <v>91452462</v>
      </c>
      <c r="J9" s="9">
        <v>0</v>
      </c>
      <c r="K9" s="9"/>
      <c r="L9" s="9"/>
      <c r="M9" s="9"/>
      <c r="N9" s="9"/>
      <c r="O9" s="9"/>
      <c r="P9" s="9"/>
      <c r="Q9" s="15">
        <f>E9+F9+G9+H9+I9+J9+K9+L9+M9+N9+O9+P9</f>
        <v>194161928.80000001</v>
      </c>
      <c r="R9" s="15">
        <f>Q9+D9</f>
        <v>213389078</v>
      </c>
    </row>
    <row r="10" spans="1:18" x14ac:dyDescent="0.25">
      <c r="A10" s="11" t="s">
        <v>22</v>
      </c>
      <c r="B10" s="12">
        <f>B12+B11</f>
        <v>0</v>
      </c>
      <c r="C10" s="12">
        <f>C12+C11</f>
        <v>1500000000</v>
      </c>
      <c r="D10" s="12">
        <f>D12+D11</f>
        <v>1500000000</v>
      </c>
      <c r="E10" s="12">
        <f t="shared" ref="E10:K10" si="7">E12+E11</f>
        <v>0</v>
      </c>
      <c r="F10" s="12">
        <f t="shared" si="7"/>
        <v>0</v>
      </c>
      <c r="G10" s="12">
        <f t="shared" si="7"/>
        <v>0</v>
      </c>
      <c r="H10" s="12">
        <f t="shared" si="7"/>
        <v>1425000000</v>
      </c>
      <c r="I10" s="12">
        <f t="shared" si="7"/>
        <v>0</v>
      </c>
      <c r="J10" s="12">
        <f t="shared" si="7"/>
        <v>3258096309</v>
      </c>
      <c r="K10" s="12">
        <f t="shared" si="7"/>
        <v>0</v>
      </c>
      <c r="L10" s="12">
        <f>L11+L12</f>
        <v>0</v>
      </c>
      <c r="M10" s="12">
        <f t="shared" ref="M10:P10" si="8">M12+M11</f>
        <v>0</v>
      </c>
      <c r="N10" s="12">
        <f>N12+N11</f>
        <v>832335000</v>
      </c>
      <c r="O10" s="12">
        <f t="shared" si="8"/>
        <v>1174834920</v>
      </c>
      <c r="P10" s="12">
        <f t="shared" si="8"/>
        <v>1192213680</v>
      </c>
      <c r="Q10" s="13">
        <f>Q11+Q12</f>
        <v>7882479909</v>
      </c>
      <c r="R10" s="13">
        <f t="shared" si="3"/>
        <v>9382479909</v>
      </c>
    </row>
    <row r="11" spans="1:18" x14ac:dyDescent="0.25">
      <c r="A11" s="14" t="s">
        <v>20</v>
      </c>
      <c r="B11" s="9"/>
      <c r="C11" s="9">
        <v>1500000000</v>
      </c>
      <c r="D11" s="60">
        <f>B11+C11</f>
        <v>1500000000</v>
      </c>
      <c r="E11" s="9"/>
      <c r="F11" s="9"/>
      <c r="G11" s="9"/>
      <c r="H11" s="60">
        <v>1425000000</v>
      </c>
      <c r="I11" s="9"/>
      <c r="J11" s="61">
        <v>3258096309</v>
      </c>
      <c r="K11" s="9"/>
      <c r="L11" s="9"/>
      <c r="M11" s="9"/>
      <c r="N11" s="9"/>
      <c r="O11" s="9"/>
      <c r="P11" s="9"/>
      <c r="Q11" s="15">
        <f>E11+F11+G11+H11+I11+J11+K11+L11+M11+N11+O11+P11</f>
        <v>4683096309</v>
      </c>
      <c r="R11" s="15">
        <f t="shared" si="3"/>
        <v>6183096309</v>
      </c>
    </row>
    <row r="12" spans="1:18" x14ac:dyDescent="0.25">
      <c r="A12" s="14" t="s">
        <v>23</v>
      </c>
      <c r="B12" s="9"/>
      <c r="C12" s="9"/>
      <c r="D12" s="10">
        <f>B12+C12</f>
        <v>0</v>
      </c>
      <c r="E12" s="9"/>
      <c r="F12" s="9"/>
      <c r="G12" s="9"/>
      <c r="H12" s="9"/>
      <c r="I12" s="9"/>
      <c r="J12" s="9"/>
      <c r="K12" s="9"/>
      <c r="L12" s="9"/>
      <c r="M12" s="9">
        <v>0</v>
      </c>
      <c r="N12" s="9">
        <f>M15-M16</f>
        <v>832335000</v>
      </c>
      <c r="O12" s="9">
        <f>N15-N16</f>
        <v>1174834920</v>
      </c>
      <c r="P12" s="9">
        <f>O15-O16</f>
        <v>1192213680</v>
      </c>
      <c r="Q12" s="15">
        <f>E12+F12+G12+H12+I12+J12+K12+L12+M12+N12+O12+P12</f>
        <v>3199383600</v>
      </c>
      <c r="R12" s="15">
        <f t="shared" si="3"/>
        <v>3199383600</v>
      </c>
    </row>
    <row r="13" spans="1:18" x14ac:dyDescent="0.25">
      <c r="A13" s="62" t="s">
        <v>45</v>
      </c>
      <c r="B13" s="17"/>
      <c r="C13" s="17"/>
      <c r="D13" s="17">
        <v>316295731.19999999</v>
      </c>
      <c r="E13" s="17">
        <f>221576000*1.2</f>
        <v>265891200</v>
      </c>
      <c r="F13" s="17">
        <f>374928000*1.2</f>
        <v>449913600</v>
      </c>
      <c r="G13" s="17">
        <f>400025000*1.2</f>
        <v>480030000</v>
      </c>
      <c r="H13" s="17">
        <f>464024000*1.2</f>
        <v>556828800</v>
      </c>
      <c r="I13" s="17">
        <f>460602000*1.2</f>
        <v>552722400</v>
      </c>
      <c r="J13" s="17">
        <f>444578000*1.2</f>
        <v>533493600</v>
      </c>
      <c r="K13" s="17">
        <f>470139000*1.2</f>
        <v>564166800</v>
      </c>
      <c r="L13" s="17">
        <f>616198000*1.2</f>
        <v>739437600</v>
      </c>
      <c r="M13" s="17">
        <f>1034790000*1.2</f>
        <v>1241748000</v>
      </c>
      <c r="N13" s="17">
        <f>687718000*1.2</f>
        <v>825261600</v>
      </c>
      <c r="O13" s="17">
        <f>664922000*1.2</f>
        <v>797906400</v>
      </c>
      <c r="P13" s="17">
        <f>399102000*1.2</f>
        <v>478922400</v>
      </c>
      <c r="Q13" s="18">
        <f>E13+F13+G13+H13+I13+J13+K13+L13+M13+N13+O13+P13</f>
        <v>7486322400</v>
      </c>
      <c r="R13" s="18">
        <f t="shared" si="3"/>
        <v>7802618131.1999998</v>
      </c>
    </row>
    <row r="14" spans="1:18" x14ac:dyDescent="0.25">
      <c r="A14" s="16" t="s">
        <v>25</v>
      </c>
      <c r="B14" s="17"/>
      <c r="C14" s="17"/>
      <c r="D14" s="17">
        <v>316295731.19999999</v>
      </c>
      <c r="E14" s="17">
        <f>D14+E13-E15</f>
        <v>582186931.20000005</v>
      </c>
      <c r="F14" s="17">
        <f>E14+F13-F15</f>
        <v>1032100531.2</v>
      </c>
      <c r="G14" s="17">
        <f>F14+G13-G15</f>
        <v>1448145425.2</v>
      </c>
      <c r="H14" s="17">
        <f>G14+H13-H15</f>
        <v>1883037609.2</v>
      </c>
      <c r="I14" s="17">
        <f t="shared" ref="I14:P14" si="9">H14+I13-I15</f>
        <v>2344307547.1999998</v>
      </c>
      <c r="J14" s="17">
        <f t="shared" si="9"/>
        <v>2877801147.1999998</v>
      </c>
      <c r="K14" s="17">
        <f t="shared" si="9"/>
        <v>3441967947.1999998</v>
      </c>
      <c r="L14" s="17">
        <f t="shared" si="9"/>
        <v>4181405547.1999998</v>
      </c>
      <c r="M14" s="17">
        <f t="shared" si="9"/>
        <v>4234103547.1999998</v>
      </c>
      <c r="N14" s="17">
        <f t="shared" si="9"/>
        <v>3381029547.1999998</v>
      </c>
      <c r="O14" s="17">
        <f t="shared" si="9"/>
        <v>2475773547.1999998</v>
      </c>
      <c r="P14" s="17">
        <f t="shared" si="9"/>
        <v>88481547.199999809</v>
      </c>
      <c r="Q14" s="17">
        <f>P14</f>
        <v>88481547.199999809</v>
      </c>
      <c r="R14" s="17">
        <f>Q14</f>
        <v>88481547.199999809</v>
      </c>
    </row>
    <row r="15" spans="1:18" x14ac:dyDescent="0.25">
      <c r="A15" s="19" t="s">
        <v>26</v>
      </c>
      <c r="B15" s="19"/>
      <c r="C15" s="20">
        <f>C9*100/70</f>
        <v>27467356</v>
      </c>
      <c r="D15" s="20">
        <f>B15+C15</f>
        <v>27467356</v>
      </c>
      <c r="E15" s="20"/>
      <c r="F15" s="20"/>
      <c r="G15" s="20">
        <v>63985106</v>
      </c>
      <c r="H15" s="20">
        <v>121936616</v>
      </c>
      <c r="I15" s="20">
        <v>91452462</v>
      </c>
      <c r="J15" s="20"/>
      <c r="K15" s="20">
        <f>K9*100/70</f>
        <v>0</v>
      </c>
      <c r="L15" s="20"/>
      <c r="M15" s="20">
        <v>1189050000</v>
      </c>
      <c r="N15" s="20">
        <f>1398613000*1.2</f>
        <v>1678335600</v>
      </c>
      <c r="O15" s="20">
        <f>1419302000*1.2</f>
        <v>1703162400</v>
      </c>
      <c r="P15" s="20">
        <f>2388512000*1.2</f>
        <v>2866214400</v>
      </c>
      <c r="Q15" s="21">
        <f>E15+F15+G15+H15+I15+J15+K15+L15+M15+N15+O15+P15</f>
        <v>7714136584</v>
      </c>
      <c r="R15" s="21">
        <f t="shared" si="3"/>
        <v>7741603940</v>
      </c>
    </row>
    <row r="16" spans="1:18" x14ac:dyDescent="0.25">
      <c r="A16" s="22" t="s">
        <v>27</v>
      </c>
      <c r="B16" s="22"/>
      <c r="C16" s="23">
        <f>C15*30%</f>
        <v>8240206.7999999998</v>
      </c>
      <c r="D16" s="23">
        <f>D15-D9</f>
        <v>8240206.8000000007</v>
      </c>
      <c r="E16" s="23"/>
      <c r="F16" s="23">
        <f t="shared" ref="F16" si="10">F15*30%</f>
        <v>0</v>
      </c>
      <c r="G16" s="23">
        <v>30953705.489999998</v>
      </c>
      <c r="H16" s="23">
        <f>H15-H9</f>
        <v>52258549.709999993</v>
      </c>
      <c r="I16" s="23"/>
      <c r="J16" s="23"/>
      <c r="K16" s="23">
        <f>K15*30%</f>
        <v>0</v>
      </c>
      <c r="L16" s="23"/>
      <c r="M16" s="23">
        <f>M15*30%</f>
        <v>356715000</v>
      </c>
      <c r="N16" s="23">
        <f>N15*30%</f>
        <v>503500680</v>
      </c>
      <c r="O16" s="23">
        <f>O15*30%</f>
        <v>510948720</v>
      </c>
      <c r="P16" s="23">
        <f>P15*30%</f>
        <v>859864320</v>
      </c>
      <c r="Q16" s="24">
        <f>E16+F16+G16+H16+I16+J16+K16+L16+M16+N16+O16+P16</f>
        <v>2314240975.1999998</v>
      </c>
      <c r="R16" s="24">
        <f t="shared" si="3"/>
        <v>2322481182</v>
      </c>
    </row>
    <row r="17" spans="1:18" x14ac:dyDescent="0.25">
      <c r="A17" s="25"/>
      <c r="B17" s="25"/>
      <c r="C17" s="26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 x14ac:dyDescent="0.25">
      <c r="A18" s="25"/>
      <c r="B18" s="25"/>
      <c r="C18" s="26"/>
      <c r="D18" s="46" t="s">
        <v>36</v>
      </c>
      <c r="E18" s="26"/>
      <c r="F18" s="26"/>
      <c r="G18" s="26"/>
      <c r="H18" s="45" t="s">
        <v>37</v>
      </c>
      <c r="I18" s="52"/>
      <c r="J18" s="45"/>
      <c r="K18" s="26"/>
      <c r="L18" s="26"/>
      <c r="M18" s="26"/>
      <c r="N18" s="26"/>
      <c r="O18" s="26"/>
      <c r="P18" s="26"/>
      <c r="Q18" s="27"/>
    </row>
    <row r="19" spans="1:18" ht="44.25" customHeight="1" x14ac:dyDescent="0.25">
      <c r="A19" s="66" t="s">
        <v>32</v>
      </c>
      <c r="B19" s="25"/>
      <c r="C19" s="26"/>
      <c r="D19" s="58">
        <v>20915162.57</v>
      </c>
      <c r="E19" s="26"/>
      <c r="G19" s="65" t="s">
        <v>40</v>
      </c>
      <c r="H19" s="58">
        <f>10290372*1.2</f>
        <v>12348446.4</v>
      </c>
      <c r="I19" s="53"/>
      <c r="K19" s="64" t="s">
        <v>34</v>
      </c>
      <c r="L19" s="46">
        <f>3730900+3240500</f>
        <v>6971400</v>
      </c>
      <c r="M19" s="26"/>
      <c r="N19" s="26"/>
      <c r="O19" s="26"/>
      <c r="P19" s="47">
        <f>P20/D19</f>
        <v>0.45423925385247432</v>
      </c>
      <c r="Q19" s="59" t="s">
        <v>39</v>
      </c>
    </row>
    <row r="20" spans="1:18" ht="32.25" customHeight="1" x14ac:dyDescent="0.25">
      <c r="A20" s="66" t="s">
        <v>33</v>
      </c>
      <c r="B20" s="25"/>
      <c r="C20" s="26"/>
      <c r="D20" s="67">
        <f>D19*30%</f>
        <v>6274548.7709999997</v>
      </c>
      <c r="E20" s="26"/>
      <c r="F20" s="182" t="s">
        <v>46</v>
      </c>
      <c r="G20" s="182"/>
      <c r="H20" s="55">
        <f>H19*H23</f>
        <v>7409067.8399999999</v>
      </c>
      <c r="I20" s="53"/>
      <c r="J20" s="26"/>
      <c r="K20" s="45" t="s">
        <v>33</v>
      </c>
      <c r="L20" s="56">
        <f>L19*0.3</f>
        <v>2091420</v>
      </c>
      <c r="M20" s="26"/>
      <c r="N20" s="182" t="s">
        <v>41</v>
      </c>
      <c r="O20" s="182"/>
      <c r="P20" s="55">
        <f>H20+L20</f>
        <v>9500487.8399999999</v>
      </c>
      <c r="Q20" s="49">
        <f>P20-R11/1000-R8/1000</f>
        <v>3225939.0689999997</v>
      </c>
      <c r="R20" s="50" t="s">
        <v>42</v>
      </c>
    </row>
    <row r="21" spans="1:18" ht="18" hidden="1" customHeight="1" x14ac:dyDescent="0.25">
      <c r="A21" s="25" t="s">
        <v>32</v>
      </c>
      <c r="B21" s="25"/>
      <c r="C21" s="26"/>
      <c r="D21" s="26">
        <v>25091976.5</v>
      </c>
      <c r="E21" s="26"/>
      <c r="F21" s="26"/>
      <c r="G21" s="26"/>
      <c r="H21" s="47">
        <f>H20/H19</f>
        <v>0.6</v>
      </c>
      <c r="I21" s="54"/>
      <c r="J21" s="26"/>
      <c r="K21" s="45"/>
      <c r="L21" s="26"/>
      <c r="M21" s="26"/>
      <c r="N21" s="182"/>
      <c r="O21" s="182"/>
      <c r="P21" s="26"/>
      <c r="Q21" s="27"/>
    </row>
    <row r="22" spans="1:18" ht="24.75" hidden="1" customHeight="1" x14ac:dyDescent="0.25">
      <c r="A22" s="25" t="s">
        <v>33</v>
      </c>
      <c r="B22" s="25"/>
      <c r="C22" s="26"/>
      <c r="D22" s="57">
        <f>D21*30%</f>
        <v>7527592.9500000002</v>
      </c>
      <c r="E22" s="26"/>
      <c r="F22" s="26"/>
      <c r="G22" s="26"/>
      <c r="H22" s="47"/>
      <c r="I22" s="54"/>
      <c r="J22" s="26"/>
      <c r="K22" s="45"/>
      <c r="L22" s="26"/>
      <c r="M22" s="26"/>
      <c r="N22" s="48"/>
      <c r="O22" s="48"/>
      <c r="P22" s="47"/>
      <c r="Q22" s="27"/>
    </row>
    <row r="23" spans="1:18" ht="29.25" customHeight="1" x14ac:dyDescent="0.25">
      <c r="A23" s="25"/>
      <c r="B23" s="25"/>
      <c r="C23" s="26"/>
      <c r="D23" s="26"/>
      <c r="E23" s="26"/>
      <c r="F23" s="182"/>
      <c r="G23" s="182"/>
      <c r="H23" s="63">
        <v>0.6</v>
      </c>
      <c r="I23" s="54"/>
      <c r="J23" s="26"/>
      <c r="K23" s="45"/>
      <c r="L23" s="45"/>
      <c r="M23" s="26"/>
      <c r="N23" s="182"/>
      <c r="O23" s="182"/>
      <c r="P23" s="26"/>
      <c r="Q23" s="27"/>
      <c r="R23" s="50"/>
    </row>
    <row r="24" spans="1:18" ht="30" customHeight="1" x14ac:dyDescent="0.25">
      <c r="A24" s="28" t="s">
        <v>31</v>
      </c>
      <c r="F24" s="26"/>
      <c r="G24" s="26"/>
      <c r="H24" s="47"/>
      <c r="N24" s="182"/>
      <c r="O24" s="182"/>
      <c r="P24" s="26"/>
    </row>
    <row r="25" spans="1:18" x14ac:dyDescent="0.25">
      <c r="A25" s="76" t="s">
        <v>2</v>
      </c>
      <c r="D25" s="76"/>
      <c r="E25" s="183">
        <v>2021</v>
      </c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5"/>
    </row>
    <row r="26" spans="1:18" x14ac:dyDescent="0.25">
      <c r="A26" s="76"/>
      <c r="D26" s="77"/>
      <c r="E26" s="77" t="s">
        <v>7</v>
      </c>
      <c r="F26" s="77" t="s">
        <v>8</v>
      </c>
      <c r="G26" s="77" t="s">
        <v>9</v>
      </c>
      <c r="H26" s="77" t="s">
        <v>10</v>
      </c>
      <c r="I26" s="77" t="s">
        <v>11</v>
      </c>
      <c r="J26" s="77" t="s">
        <v>12</v>
      </c>
      <c r="K26" s="77" t="s">
        <v>13</v>
      </c>
      <c r="L26" s="77" t="s">
        <v>14</v>
      </c>
      <c r="M26" s="77" t="s">
        <v>15</v>
      </c>
      <c r="N26" s="77" t="s">
        <v>16</v>
      </c>
      <c r="O26" s="77" t="s">
        <v>4</v>
      </c>
      <c r="P26" s="77" t="s">
        <v>5</v>
      </c>
      <c r="Q26" s="77" t="s">
        <v>6</v>
      </c>
    </row>
    <row r="27" spans="1:18" ht="57" x14ac:dyDescent="0.25">
      <c r="A27" s="30" t="s">
        <v>17</v>
      </c>
      <c r="D27" s="36"/>
      <c r="E27" s="36">
        <f t="shared" ref="E27:P27" si="11">E28</f>
        <v>0</v>
      </c>
      <c r="F27" s="36">
        <f t="shared" si="11"/>
        <v>0</v>
      </c>
      <c r="G27" s="36">
        <f t="shared" si="11"/>
        <v>0</v>
      </c>
      <c r="H27" s="37">
        <f t="shared" si="11"/>
        <v>578790360</v>
      </c>
      <c r="I27" s="37">
        <f t="shared" si="11"/>
        <v>1421756628</v>
      </c>
      <c r="J27" s="37">
        <f t="shared" si="11"/>
        <v>0</v>
      </c>
      <c r="K27" s="37">
        <f t="shared" si="11"/>
        <v>2160000000</v>
      </c>
      <c r="L27" s="37">
        <f t="shared" si="11"/>
        <v>274000000</v>
      </c>
      <c r="M27" s="37">
        <f t="shared" si="11"/>
        <v>0</v>
      </c>
      <c r="N27" s="37">
        <f t="shared" si="11"/>
        <v>3000000000</v>
      </c>
      <c r="O27" s="37">
        <f t="shared" si="11"/>
        <v>0</v>
      </c>
      <c r="P27" s="37">
        <f t="shared" si="11"/>
        <v>110690040</v>
      </c>
      <c r="Q27" s="37">
        <f>Q28</f>
        <v>7545237028</v>
      </c>
    </row>
    <row r="28" spans="1:18" ht="45" x14ac:dyDescent="0.25">
      <c r="A28" s="31" t="s">
        <v>29</v>
      </c>
      <c r="D28" s="38"/>
      <c r="E28" s="38">
        <f t="shared" ref="E28:P28" si="12">E29+E32</f>
        <v>0</v>
      </c>
      <c r="F28" s="38">
        <f t="shared" si="12"/>
        <v>0</v>
      </c>
      <c r="G28" s="38">
        <f t="shared" si="12"/>
        <v>0</v>
      </c>
      <c r="H28" s="39">
        <f t="shared" si="12"/>
        <v>578790360</v>
      </c>
      <c r="I28" s="39">
        <f t="shared" si="12"/>
        <v>1421756628</v>
      </c>
      <c r="J28" s="39">
        <f t="shared" si="12"/>
        <v>0</v>
      </c>
      <c r="K28" s="39">
        <f t="shared" si="12"/>
        <v>2160000000</v>
      </c>
      <c r="L28" s="39">
        <f t="shared" si="12"/>
        <v>274000000</v>
      </c>
      <c r="M28" s="39">
        <f t="shared" si="12"/>
        <v>0</v>
      </c>
      <c r="N28" s="39">
        <f t="shared" si="12"/>
        <v>3000000000</v>
      </c>
      <c r="O28" s="39">
        <f t="shared" si="12"/>
        <v>0</v>
      </c>
      <c r="P28" s="39">
        <f t="shared" si="12"/>
        <v>110690040</v>
      </c>
      <c r="Q28" s="39">
        <f>Q29+Q32</f>
        <v>7545237028</v>
      </c>
    </row>
    <row r="29" spans="1:18" x14ac:dyDescent="0.25">
      <c r="A29" s="32" t="s">
        <v>19</v>
      </c>
      <c r="D29" s="40"/>
      <c r="E29" s="40">
        <f t="shared" ref="E29:F29" si="13">E30+E31</f>
        <v>0</v>
      </c>
      <c r="F29" s="40">
        <f t="shared" si="13"/>
        <v>0</v>
      </c>
      <c r="G29" s="40">
        <f>G30+G31</f>
        <v>0</v>
      </c>
      <c r="H29" s="41">
        <f>H30+H31</f>
        <v>0</v>
      </c>
      <c r="I29" s="41">
        <f t="shared" ref="I29:P29" si="14">I30+I31</f>
        <v>264220000</v>
      </c>
      <c r="J29" s="41">
        <f t="shared" si="14"/>
        <v>0</v>
      </c>
      <c r="K29" s="41">
        <f t="shared" si="14"/>
        <v>0</v>
      </c>
      <c r="L29" s="41">
        <f t="shared" si="14"/>
        <v>274000000</v>
      </c>
      <c r="M29" s="41">
        <f t="shared" si="14"/>
        <v>0</v>
      </c>
      <c r="N29" s="41">
        <f t="shared" si="14"/>
        <v>0</v>
      </c>
      <c r="O29" s="41">
        <f t="shared" si="14"/>
        <v>0</v>
      </c>
      <c r="P29" s="41">
        <f t="shared" si="14"/>
        <v>110690040</v>
      </c>
      <c r="Q29" s="41">
        <f>Q30+Q31</f>
        <v>648910040</v>
      </c>
    </row>
    <row r="30" spans="1:18" x14ac:dyDescent="0.25">
      <c r="A30" s="33" t="s">
        <v>20</v>
      </c>
      <c r="D30" s="38"/>
      <c r="E30" s="38"/>
      <c r="F30" s="38"/>
      <c r="G30" s="38"/>
      <c r="H30" s="39"/>
      <c r="I30" s="39"/>
      <c r="J30" s="39"/>
      <c r="K30" s="39"/>
      <c r="L30" s="39"/>
      <c r="M30" s="39"/>
      <c r="N30" s="39"/>
      <c r="O30" s="39"/>
      <c r="P30" s="39"/>
      <c r="Q30" s="39">
        <f>E30+F30+G30+H30+I30+J30+K30+L30+M30+N30+O30+P30</f>
        <v>0</v>
      </c>
    </row>
    <row r="31" spans="1:18" x14ac:dyDescent="0.25">
      <c r="A31" s="33" t="s">
        <v>21</v>
      </c>
      <c r="D31" s="38"/>
      <c r="E31" s="38"/>
      <c r="F31" s="38"/>
      <c r="G31" s="38"/>
      <c r="H31" s="39"/>
      <c r="I31" s="39">
        <v>264220000</v>
      </c>
      <c r="J31" s="39"/>
      <c r="K31" s="39"/>
      <c r="L31" s="39">
        <v>274000000</v>
      </c>
      <c r="M31" s="39"/>
      <c r="N31" s="39"/>
      <c r="O31" s="39"/>
      <c r="P31" s="39">
        <f>648910040-538230000+10000</f>
        <v>110690040</v>
      </c>
      <c r="Q31" s="39">
        <f>E31+F31+G31+H31+I31+J31+K31+L31+M31+N31+O31+P31</f>
        <v>648910040</v>
      </c>
    </row>
    <row r="32" spans="1:18" x14ac:dyDescent="0.25">
      <c r="A32" s="32" t="s">
        <v>22</v>
      </c>
      <c r="D32" s="40"/>
      <c r="E32" s="40">
        <f t="shared" ref="E32:P32" si="15">E34+E33</f>
        <v>0</v>
      </c>
      <c r="F32" s="40">
        <f t="shared" si="15"/>
        <v>0</v>
      </c>
      <c r="G32" s="40">
        <f t="shared" si="15"/>
        <v>0</v>
      </c>
      <c r="H32" s="41">
        <f t="shared" si="15"/>
        <v>578790360</v>
      </c>
      <c r="I32" s="41">
        <f t="shared" si="15"/>
        <v>1157536628</v>
      </c>
      <c r="J32" s="41">
        <f t="shared" si="15"/>
        <v>0</v>
      </c>
      <c r="K32" s="41">
        <f t="shared" si="15"/>
        <v>2160000000</v>
      </c>
      <c r="L32" s="41">
        <f t="shared" si="15"/>
        <v>0</v>
      </c>
      <c r="M32" s="41">
        <f t="shared" si="15"/>
        <v>0</v>
      </c>
      <c r="N32" s="41">
        <f t="shared" si="15"/>
        <v>3000000000</v>
      </c>
      <c r="O32" s="41">
        <f t="shared" si="15"/>
        <v>0</v>
      </c>
      <c r="P32" s="41">
        <f t="shared" si="15"/>
        <v>0</v>
      </c>
      <c r="Q32" s="41">
        <f>Q33+Q34</f>
        <v>6896326988</v>
      </c>
    </row>
    <row r="33" spans="1:17" x14ac:dyDescent="0.25">
      <c r="A33" s="33" t="s">
        <v>20</v>
      </c>
      <c r="D33" s="38"/>
      <c r="E33" s="38"/>
      <c r="F33" s="38"/>
      <c r="G33" s="38"/>
      <c r="H33" s="39">
        <v>578790360</v>
      </c>
      <c r="I33" s="39">
        <f>1736326988-578790360</f>
        <v>1157536628</v>
      </c>
      <c r="J33" s="39"/>
      <c r="K33" s="39">
        <v>2160000000</v>
      </c>
      <c r="L33" s="39">
        <v>0</v>
      </c>
      <c r="M33" s="39">
        <v>0</v>
      </c>
      <c r="N33" s="39">
        <v>3000000000</v>
      </c>
      <c r="O33" s="39"/>
      <c r="P33" s="39"/>
      <c r="Q33" s="39">
        <f>E33+F33+G33+H33+I33+J33+K33+L33+M33+N33+O33+P33</f>
        <v>6896326988</v>
      </c>
    </row>
    <row r="34" spans="1:17" x14ac:dyDescent="0.25">
      <c r="A34" s="33" t="s">
        <v>21</v>
      </c>
      <c r="D34" s="38"/>
      <c r="E34" s="38"/>
      <c r="F34" s="38"/>
      <c r="G34" s="38"/>
      <c r="H34" s="39"/>
      <c r="I34" s="39"/>
      <c r="J34" s="39"/>
      <c r="K34" s="39"/>
      <c r="L34" s="39"/>
      <c r="M34" s="39"/>
      <c r="N34" s="39"/>
      <c r="O34" s="39"/>
      <c r="P34" s="39"/>
      <c r="Q34" s="39">
        <f>E34+F34+G34+H34+I34+J34+K34+L34+M34+N34+O34+P34</f>
        <v>0</v>
      </c>
    </row>
    <row r="35" spans="1:17" x14ac:dyDescent="0.25">
      <c r="A35" s="34" t="s">
        <v>30</v>
      </c>
      <c r="D35" s="42"/>
      <c r="E35" s="42"/>
      <c r="F35" s="42"/>
      <c r="G35" s="42"/>
      <c r="H35" s="43">
        <v>200000000</v>
      </c>
      <c r="I35" s="43">
        <v>614200000</v>
      </c>
      <c r="J35" s="43">
        <v>450000000</v>
      </c>
      <c r="K35" s="43">
        <v>500000000</v>
      </c>
      <c r="L35" s="43">
        <v>774010000</v>
      </c>
      <c r="M35" s="43">
        <v>500000000</v>
      </c>
      <c r="N35" s="43">
        <v>500000000</v>
      </c>
      <c r="O35" s="43">
        <f>N35</f>
        <v>500000000</v>
      </c>
      <c r="P35" s="43">
        <v>515900000</v>
      </c>
      <c r="Q35" s="43">
        <f>E35+F35+G35+H35+I35+J35+K35+L35+M35+N35+O35+P35</f>
        <v>4554110000</v>
      </c>
    </row>
    <row r="36" spans="1:17" x14ac:dyDescent="0.25">
      <c r="A36" s="34" t="s">
        <v>25</v>
      </c>
      <c r="D36" s="42"/>
      <c r="E36" s="42">
        <f>D36+E35</f>
        <v>0</v>
      </c>
      <c r="F36" s="42">
        <f>E36+F35</f>
        <v>0</v>
      </c>
      <c r="G36" s="42">
        <f>F36+G35</f>
        <v>0</v>
      </c>
      <c r="H36" s="43">
        <f>G36+H35</f>
        <v>200000000</v>
      </c>
      <c r="I36" s="43">
        <f>I35+H36-I29</f>
        <v>549980000</v>
      </c>
      <c r="J36" s="43">
        <f t="shared" ref="J36:O36" si="16">J35+I36</f>
        <v>999980000</v>
      </c>
      <c r="K36" s="43">
        <f t="shared" si="16"/>
        <v>1499980000</v>
      </c>
      <c r="L36" s="43">
        <f>L35+K36-L29</f>
        <v>1999990000</v>
      </c>
      <c r="M36" s="43">
        <f t="shared" si="16"/>
        <v>2499990000</v>
      </c>
      <c r="N36" s="43">
        <f t="shared" si="16"/>
        <v>2999990000</v>
      </c>
      <c r="O36" s="43">
        <f t="shared" si="16"/>
        <v>3499990000</v>
      </c>
      <c r="P36" s="43">
        <f>P35+O36-P29</f>
        <v>3905199960</v>
      </c>
      <c r="Q36" s="43">
        <f>P36</f>
        <v>3905199960</v>
      </c>
    </row>
    <row r="37" spans="1:17" x14ac:dyDescent="0.25">
      <c r="A37" s="78" t="s">
        <v>26</v>
      </c>
      <c r="B37" s="78"/>
      <c r="C37" s="79">
        <f>C31*100/70</f>
        <v>0</v>
      </c>
      <c r="D37" s="79">
        <f>B37+C37</f>
        <v>0</v>
      </c>
      <c r="E37" s="79"/>
      <c r="F37" s="79">
        <f>F31*100/70</f>
        <v>0</v>
      </c>
      <c r="G37" s="79">
        <f>G31*100/70</f>
        <v>0</v>
      </c>
      <c r="H37" s="79">
        <f>H31*100/70</f>
        <v>0</v>
      </c>
      <c r="I37" s="79">
        <f>I31</f>
        <v>264220000</v>
      </c>
      <c r="J37" s="79"/>
      <c r="K37" s="79">
        <f>K31*100/70</f>
        <v>0</v>
      </c>
      <c r="L37" s="79">
        <f>L31</f>
        <v>274000000</v>
      </c>
      <c r="M37" s="79"/>
      <c r="N37" s="79"/>
      <c r="O37" s="79"/>
      <c r="P37" s="79">
        <f>P31</f>
        <v>110690040</v>
      </c>
      <c r="Q37" s="80">
        <f>E37+F37+G37+H37+I37+J37+K37+L37+M37+N37+O37+P37</f>
        <v>648910040</v>
      </c>
    </row>
    <row r="38" spans="1:17" x14ac:dyDescent="0.25">
      <c r="A38" s="81" t="s">
        <v>27</v>
      </c>
      <c r="B38" s="81"/>
      <c r="C38" s="82">
        <f>C37*30%</f>
        <v>0</v>
      </c>
      <c r="D38" s="82">
        <f>B38+C38</f>
        <v>0</v>
      </c>
      <c r="E38" s="82"/>
      <c r="F38" s="82">
        <f t="shared" ref="F38:H38" si="17">F37*30%</f>
        <v>0</v>
      </c>
      <c r="G38" s="82">
        <f t="shared" si="17"/>
        <v>0</v>
      </c>
      <c r="H38" s="82">
        <f t="shared" si="17"/>
        <v>0</v>
      </c>
      <c r="I38" s="82"/>
      <c r="J38" s="82"/>
      <c r="K38" s="82">
        <f>K37*30%</f>
        <v>0</v>
      </c>
      <c r="L38" s="82"/>
      <c r="M38" s="82"/>
      <c r="N38" s="82"/>
      <c r="O38" s="82"/>
      <c r="P38" s="82"/>
      <c r="Q38" s="83">
        <f>E38+F38+G38+H38+I38+J38+K38+L38+M38+N38+O38+P38</f>
        <v>0</v>
      </c>
    </row>
    <row r="40" spans="1:17" ht="30" x14ac:dyDescent="0.25">
      <c r="A40" s="84"/>
      <c r="B40" s="84"/>
      <c r="C40" s="85"/>
      <c r="D40" s="86" t="s">
        <v>36</v>
      </c>
      <c r="E40" s="75" t="s">
        <v>47</v>
      </c>
      <c r="F40" s="71"/>
    </row>
    <row r="41" spans="1:17" x14ac:dyDescent="0.25">
      <c r="A41" s="70" t="s">
        <v>32</v>
      </c>
      <c r="B41" s="68"/>
      <c r="C41" s="69"/>
      <c r="D41" s="73">
        <v>44987596.82</v>
      </c>
      <c r="E41" s="74"/>
      <c r="F41" s="71"/>
    </row>
    <row r="42" spans="1:17" x14ac:dyDescent="0.25">
      <c r="A42" s="70" t="s">
        <v>33</v>
      </c>
      <c r="B42" s="68"/>
      <c r="C42" s="69"/>
      <c r="D42" s="73">
        <f>D41*30%</f>
        <v>13496279.046</v>
      </c>
      <c r="E42" s="74">
        <f>Q33/1000</f>
        <v>6896326.9879999999</v>
      </c>
      <c r="F42" s="71"/>
    </row>
    <row r="43" spans="1:17" x14ac:dyDescent="0.25">
      <c r="A43" s="71"/>
      <c r="B43" s="71"/>
      <c r="C43" s="71"/>
      <c r="D43" s="72">
        <f>D42/D41</f>
        <v>0.3</v>
      </c>
      <c r="E43" s="72">
        <f>E42/D41</f>
        <v>0.15329396268026749</v>
      </c>
      <c r="F43" s="71"/>
    </row>
    <row r="44" spans="1:17" x14ac:dyDescent="0.25">
      <c r="A44" s="71"/>
      <c r="B44" s="71"/>
      <c r="C44" s="71"/>
      <c r="D44" s="71"/>
      <c r="E44" s="71"/>
      <c r="F44" s="71"/>
    </row>
  </sheetData>
  <mergeCells count="11">
    <mergeCell ref="A1:D1"/>
    <mergeCell ref="A3:A4"/>
    <mergeCell ref="B3:D3"/>
    <mergeCell ref="E3:Q3"/>
    <mergeCell ref="E25:Q25"/>
    <mergeCell ref="F20:G20"/>
    <mergeCell ref="N20:O20"/>
    <mergeCell ref="N21:O21"/>
    <mergeCell ref="F23:G23"/>
    <mergeCell ref="N23:O23"/>
    <mergeCell ref="N24:O24"/>
  </mergeCells>
  <pageMargins left="0.31496062992125984" right="0.31496062992125984" top="0.35433070866141736" bottom="0.35433070866141736" header="0.11811023622047245" footer="0.11811023622047245"/>
  <pageSetup paperSize="8" scale="77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S46"/>
  <sheetViews>
    <sheetView topLeftCell="D1" workbookViewId="0">
      <selection activeCell="O45" sqref="O45"/>
    </sheetView>
  </sheetViews>
  <sheetFormatPr defaultRowHeight="15" x14ac:dyDescent="0.25"/>
  <cols>
    <col min="1" max="1" width="45.140625" bestFit="1" customWidth="1"/>
    <col min="2" max="2" width="6.5703125" hidden="1" customWidth="1"/>
    <col min="3" max="3" width="13.85546875" hidden="1" customWidth="1"/>
    <col min="4" max="4" width="15.28515625" customWidth="1"/>
    <col min="5" max="5" width="15.7109375" customWidth="1"/>
    <col min="6" max="6" width="12.85546875" bestFit="1" customWidth="1"/>
    <col min="7" max="7" width="13.28515625" customWidth="1"/>
    <col min="8" max="8" width="14.7109375" customWidth="1"/>
    <col min="9" max="9" width="14.140625" customWidth="1"/>
    <col min="10" max="10" width="13.5703125" customWidth="1"/>
    <col min="11" max="11" width="14.28515625" customWidth="1"/>
    <col min="12" max="12" width="13.85546875" bestFit="1" customWidth="1"/>
    <col min="13" max="16" width="14.42578125" bestFit="1" customWidth="1"/>
    <col min="17" max="18" width="13.7109375" bestFit="1" customWidth="1"/>
    <col min="19" max="19" width="18.140625" customWidth="1"/>
  </cols>
  <sheetData>
    <row r="1" spans="1:19" ht="27.95" customHeight="1" x14ac:dyDescent="0.25">
      <c r="A1" s="172" t="s">
        <v>0</v>
      </c>
      <c r="B1" s="172"/>
      <c r="C1" s="172"/>
      <c r="D1" s="17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9" ht="30.75" customHeight="1" x14ac:dyDescent="0.25">
      <c r="A2" s="98" t="s">
        <v>48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 t="s">
        <v>1</v>
      </c>
    </row>
    <row r="3" spans="1:19" x14ac:dyDescent="0.25">
      <c r="A3" s="173" t="s">
        <v>2</v>
      </c>
      <c r="B3" s="173" t="s">
        <v>3</v>
      </c>
      <c r="C3" s="173"/>
      <c r="D3" s="173"/>
      <c r="E3" s="174">
        <v>2021</v>
      </c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6"/>
    </row>
    <row r="4" spans="1:19" ht="25.5" x14ac:dyDescent="0.25">
      <c r="A4" s="173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4</v>
      </c>
      <c r="P4" s="5" t="s">
        <v>5</v>
      </c>
      <c r="Q4" s="5" t="s">
        <v>6</v>
      </c>
      <c r="R4" s="5" t="s">
        <v>44</v>
      </c>
    </row>
    <row r="5" spans="1:19" ht="51" x14ac:dyDescent="0.25">
      <c r="A5" s="6" t="s">
        <v>17</v>
      </c>
      <c r="B5" s="7">
        <f>B6</f>
        <v>0</v>
      </c>
      <c r="C5" s="7">
        <f t="shared" ref="C5:P5" si="0">C6</f>
        <v>1610679611.2</v>
      </c>
      <c r="D5" s="7">
        <f t="shared" si="0"/>
        <v>1610679611.2</v>
      </c>
      <c r="E5" s="7">
        <f t="shared" si="0"/>
        <v>0</v>
      </c>
      <c r="F5" s="7">
        <f t="shared" si="0"/>
        <v>0</v>
      </c>
      <c r="G5" s="7">
        <f t="shared" si="0"/>
        <v>33031400.510000002</v>
      </c>
      <c r="H5" s="7">
        <f t="shared" si="0"/>
        <v>1494678066.29</v>
      </c>
      <c r="I5" s="7">
        <f t="shared" si="0"/>
        <v>91452462</v>
      </c>
      <c r="J5" s="7">
        <f t="shared" si="0"/>
        <v>3258096309</v>
      </c>
      <c r="K5" s="7">
        <f t="shared" si="0"/>
        <v>0</v>
      </c>
      <c r="L5" s="7">
        <f t="shared" si="0"/>
        <v>0</v>
      </c>
      <c r="M5" s="7">
        <f t="shared" si="0"/>
        <v>0</v>
      </c>
      <c r="N5" s="7">
        <f t="shared" si="0"/>
        <v>832335000</v>
      </c>
      <c r="O5" s="7">
        <f t="shared" si="0"/>
        <v>1174834920</v>
      </c>
      <c r="P5" s="7">
        <f t="shared" si="0"/>
        <v>1192213680</v>
      </c>
      <c r="Q5" s="7">
        <f>Q6</f>
        <v>8076641837.8000002</v>
      </c>
      <c r="R5" s="7">
        <f>Q5+D5</f>
        <v>9687321449</v>
      </c>
    </row>
    <row r="6" spans="1:19" ht="38.25" x14ac:dyDescent="0.25">
      <c r="A6" s="8" t="s">
        <v>18</v>
      </c>
      <c r="B6" s="9">
        <f>B7+B10</f>
        <v>0</v>
      </c>
      <c r="C6" s="9">
        <f t="shared" ref="C6" si="1">C7+C10</f>
        <v>1610679611.2</v>
      </c>
      <c r="D6" s="10">
        <f>D7+D10</f>
        <v>1610679611.2</v>
      </c>
      <c r="E6" s="9">
        <f t="shared" ref="E6:P6" si="2">E7+E10</f>
        <v>0</v>
      </c>
      <c r="F6" s="9">
        <f t="shared" si="2"/>
        <v>0</v>
      </c>
      <c r="G6" s="9">
        <f t="shared" si="2"/>
        <v>33031400.510000002</v>
      </c>
      <c r="H6" s="9">
        <f t="shared" si="2"/>
        <v>1494678066.29</v>
      </c>
      <c r="I6" s="9">
        <f t="shared" si="2"/>
        <v>91452462</v>
      </c>
      <c r="J6" s="9">
        <f t="shared" si="2"/>
        <v>3258096309</v>
      </c>
      <c r="K6" s="9">
        <f t="shared" si="2"/>
        <v>0</v>
      </c>
      <c r="L6" s="9">
        <f t="shared" si="2"/>
        <v>0</v>
      </c>
      <c r="M6" s="9">
        <f t="shared" si="2"/>
        <v>0</v>
      </c>
      <c r="N6" s="9">
        <f t="shared" si="2"/>
        <v>832335000</v>
      </c>
      <c r="O6" s="9">
        <f t="shared" si="2"/>
        <v>1174834920</v>
      </c>
      <c r="P6" s="9">
        <f t="shared" si="2"/>
        <v>1192213680</v>
      </c>
      <c r="Q6" s="10">
        <f>Q7+Q10</f>
        <v>8076641837.8000002</v>
      </c>
      <c r="R6" s="10">
        <f t="shared" ref="R6:R16" si="3">Q6+D6</f>
        <v>9687321449</v>
      </c>
    </row>
    <row r="7" spans="1:19" x14ac:dyDescent="0.25">
      <c r="A7" s="11" t="s">
        <v>19</v>
      </c>
      <c r="B7" s="12">
        <f>B8+B9</f>
        <v>0</v>
      </c>
      <c r="C7" s="12">
        <f t="shared" ref="C7" si="4">C8+C9</f>
        <v>110679611.2</v>
      </c>
      <c r="D7" s="12">
        <f>D8+D9</f>
        <v>110679611.2</v>
      </c>
      <c r="E7" s="12">
        <f t="shared" ref="E7:F7" si="5">E8+E9</f>
        <v>0</v>
      </c>
      <c r="F7" s="12">
        <f t="shared" si="5"/>
        <v>0</v>
      </c>
      <c r="G7" s="12">
        <f>G8+G9</f>
        <v>33031400.510000002</v>
      </c>
      <c r="H7" s="12">
        <f>H8+H9</f>
        <v>69678066.290000007</v>
      </c>
      <c r="I7" s="12">
        <f t="shared" ref="I7:P7" si="6">I8+I9</f>
        <v>91452462</v>
      </c>
      <c r="J7" s="12">
        <f t="shared" si="6"/>
        <v>0</v>
      </c>
      <c r="K7" s="12">
        <f t="shared" si="6"/>
        <v>0</v>
      </c>
      <c r="L7" s="12">
        <f t="shared" si="6"/>
        <v>0</v>
      </c>
      <c r="M7" s="12">
        <f t="shared" si="6"/>
        <v>0</v>
      </c>
      <c r="N7" s="12">
        <f t="shared" si="6"/>
        <v>0</v>
      </c>
      <c r="O7" s="12">
        <f t="shared" si="6"/>
        <v>0</v>
      </c>
      <c r="P7" s="12">
        <f t="shared" si="6"/>
        <v>0</v>
      </c>
      <c r="Q7" s="13">
        <f>Q8+Q9</f>
        <v>194161928.80000001</v>
      </c>
      <c r="R7" s="13">
        <f t="shared" si="3"/>
        <v>304841540</v>
      </c>
    </row>
    <row r="8" spans="1:19" x14ac:dyDescent="0.25">
      <c r="A8" s="14" t="s">
        <v>20</v>
      </c>
      <c r="B8" s="9"/>
      <c r="C8" s="9">
        <f>91452462</f>
        <v>91452462</v>
      </c>
      <c r="D8" s="9">
        <f>B8+C8</f>
        <v>91452462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5">
        <f>E8+F8+G8+H8+I8+J8+K8+L8+M8+N8+O8+P8</f>
        <v>0</v>
      </c>
      <c r="R8" s="15">
        <f t="shared" si="3"/>
        <v>91452462</v>
      </c>
    </row>
    <row r="9" spans="1:19" x14ac:dyDescent="0.25">
      <c r="A9" s="14" t="s">
        <v>21</v>
      </c>
      <c r="B9" s="9"/>
      <c r="C9" s="9">
        <v>19227149.199999999</v>
      </c>
      <c r="D9" s="9">
        <f>B9+C9</f>
        <v>19227149.199999999</v>
      </c>
      <c r="E9" s="9"/>
      <c r="F9" s="9"/>
      <c r="G9" s="9">
        <v>33031400.510000002</v>
      </c>
      <c r="H9" s="9">
        <v>69678066.290000007</v>
      </c>
      <c r="I9" s="9">
        <v>91452462</v>
      </c>
      <c r="J9" s="9">
        <v>0</v>
      </c>
      <c r="K9" s="9"/>
      <c r="L9" s="9"/>
      <c r="M9" s="9"/>
      <c r="N9" s="9"/>
      <c r="O9" s="9"/>
      <c r="P9" s="9"/>
      <c r="Q9" s="15">
        <f>E9+F9+G9+H9+I9+J9+K9+L9+M9+N9+O9+P9</f>
        <v>194161928.80000001</v>
      </c>
      <c r="R9" s="15">
        <f>Q9+D9</f>
        <v>213389078</v>
      </c>
    </row>
    <row r="10" spans="1:19" x14ac:dyDescent="0.25">
      <c r="A10" s="11" t="s">
        <v>22</v>
      </c>
      <c r="B10" s="12">
        <f>B12+B11</f>
        <v>0</v>
      </c>
      <c r="C10" s="12">
        <f>C12+C11</f>
        <v>1500000000</v>
      </c>
      <c r="D10" s="12">
        <f>D12+D11</f>
        <v>1500000000</v>
      </c>
      <c r="E10" s="12">
        <f t="shared" ref="E10:K10" si="7">E12+E11</f>
        <v>0</v>
      </c>
      <c r="F10" s="12">
        <f t="shared" si="7"/>
        <v>0</v>
      </c>
      <c r="G10" s="12">
        <f t="shared" si="7"/>
        <v>0</v>
      </c>
      <c r="H10" s="12">
        <f t="shared" si="7"/>
        <v>1425000000</v>
      </c>
      <c r="I10" s="12">
        <f t="shared" si="7"/>
        <v>0</v>
      </c>
      <c r="J10" s="12">
        <f t="shared" si="7"/>
        <v>3258096309</v>
      </c>
      <c r="K10" s="12">
        <f t="shared" si="7"/>
        <v>0</v>
      </c>
      <c r="L10" s="12">
        <f>L11+L12</f>
        <v>0</v>
      </c>
      <c r="M10" s="12">
        <f t="shared" ref="M10:P10" si="8">M12+M11</f>
        <v>0</v>
      </c>
      <c r="N10" s="12">
        <f>N12+N11</f>
        <v>832335000</v>
      </c>
      <c r="O10" s="12">
        <f t="shared" si="8"/>
        <v>1174834920</v>
      </c>
      <c r="P10" s="12">
        <f t="shared" si="8"/>
        <v>1192213680</v>
      </c>
      <c r="Q10" s="13">
        <f>Q11+Q12</f>
        <v>7882479909</v>
      </c>
      <c r="R10" s="13">
        <f t="shared" si="3"/>
        <v>9382479909</v>
      </c>
    </row>
    <row r="11" spans="1:19" x14ac:dyDescent="0.25">
      <c r="A11" s="14" t="s">
        <v>20</v>
      </c>
      <c r="B11" s="9"/>
      <c r="C11" s="9">
        <v>1500000000</v>
      </c>
      <c r="D11" s="9">
        <f>B11+C11</f>
        <v>1500000000</v>
      </c>
      <c r="E11" s="9"/>
      <c r="F11" s="9"/>
      <c r="G11" s="9"/>
      <c r="H11" s="9">
        <v>1425000000</v>
      </c>
      <c r="I11" s="9"/>
      <c r="J11" s="9">
        <v>3258096309</v>
      </c>
      <c r="K11" s="9"/>
      <c r="L11" s="9"/>
      <c r="M11" s="9"/>
      <c r="N11" s="9"/>
      <c r="O11" s="9"/>
      <c r="P11" s="9"/>
      <c r="Q11" s="15">
        <f>E11+F11+G11+H11+I11+J11+K11+L11+M11+N11+O11+P11</f>
        <v>4683096309</v>
      </c>
      <c r="R11" s="15">
        <f t="shared" si="3"/>
        <v>6183096309</v>
      </c>
    </row>
    <row r="12" spans="1:19" x14ac:dyDescent="0.25">
      <c r="A12" s="14" t="s">
        <v>23</v>
      </c>
      <c r="B12" s="9"/>
      <c r="C12" s="9"/>
      <c r="D12" s="9">
        <f>B12+C12</f>
        <v>0</v>
      </c>
      <c r="E12" s="9"/>
      <c r="F12" s="9"/>
      <c r="G12" s="9"/>
      <c r="H12" s="9"/>
      <c r="I12" s="9"/>
      <c r="J12" s="9"/>
      <c r="K12" s="9"/>
      <c r="L12" s="9"/>
      <c r="M12" s="9">
        <v>0</v>
      </c>
      <c r="N12" s="9">
        <f>M15-M16</f>
        <v>832335000</v>
      </c>
      <c r="O12" s="9">
        <f>N15-N16</f>
        <v>1174834920</v>
      </c>
      <c r="P12" s="9">
        <f>O15-O16</f>
        <v>1192213680</v>
      </c>
      <c r="Q12" s="15">
        <f>E12+F12+G12+H12+I12+J12+K12+L12+M12+N12+O12+P12</f>
        <v>3199383600</v>
      </c>
      <c r="R12" s="15">
        <f t="shared" si="3"/>
        <v>3199383600</v>
      </c>
    </row>
    <row r="13" spans="1:19" x14ac:dyDescent="0.25">
      <c r="A13" s="16" t="s">
        <v>49</v>
      </c>
      <c r="B13" s="17"/>
      <c r="C13" s="17"/>
      <c r="D13" s="17">
        <v>316295731.19999999</v>
      </c>
      <c r="E13" s="17">
        <f>221576000*1.2</f>
        <v>265891200</v>
      </c>
      <c r="F13" s="17">
        <f>374928000*1.2</f>
        <v>449913600</v>
      </c>
      <c r="G13" s="17">
        <f>400025000*1.2</f>
        <v>480030000</v>
      </c>
      <c r="H13" s="17">
        <f>464024000*1.2</f>
        <v>556828800</v>
      </c>
      <c r="I13" s="17">
        <f>460602000*1.2</f>
        <v>552722400</v>
      </c>
      <c r="J13" s="17">
        <f>444578000*1.2</f>
        <v>533493600</v>
      </c>
      <c r="K13" s="17">
        <f>470139000*1.2</f>
        <v>564166800</v>
      </c>
      <c r="L13" s="17">
        <f>616198000*1.2</f>
        <v>739437600</v>
      </c>
      <c r="M13" s="17">
        <f>1034790000*1.2</f>
        <v>1241748000</v>
      </c>
      <c r="N13" s="17">
        <f>687718000*1.2</f>
        <v>825261600</v>
      </c>
      <c r="O13" s="17">
        <f>664922000*1.2</f>
        <v>797906400</v>
      </c>
      <c r="P13" s="17">
        <f>399102000*1.2</f>
        <v>478922400</v>
      </c>
      <c r="Q13" s="18">
        <f>E13+F13+G13+H13+I13+J13+K13+L13+M13+N13+O13+P13</f>
        <v>7486322400</v>
      </c>
      <c r="R13" s="18">
        <f t="shared" si="3"/>
        <v>7802618131.1999998</v>
      </c>
    </row>
    <row r="14" spans="1:19" x14ac:dyDescent="0.25">
      <c r="A14" s="16" t="s">
        <v>25</v>
      </c>
      <c r="B14" s="17"/>
      <c r="C14" s="17"/>
      <c r="D14" s="17">
        <v>316295731.19999999</v>
      </c>
      <c r="E14" s="17">
        <f>D14+E13-E15</f>
        <v>582186931.20000005</v>
      </c>
      <c r="F14" s="17">
        <f>E14+F13-F15</f>
        <v>1032100531.2</v>
      </c>
      <c r="G14" s="17">
        <f>F14+G13-G15</f>
        <v>1448145425.2</v>
      </c>
      <c r="H14" s="17">
        <f>G14+H13-H15</f>
        <v>1883037609.2</v>
      </c>
      <c r="I14" s="17">
        <f t="shared" ref="I14:P14" si="9">H14+I13-I15</f>
        <v>2344307547.1999998</v>
      </c>
      <c r="J14" s="17">
        <f t="shared" si="9"/>
        <v>2877801147.1999998</v>
      </c>
      <c r="K14" s="17">
        <f t="shared" si="9"/>
        <v>3441967947.1999998</v>
      </c>
      <c r="L14" s="17">
        <f t="shared" si="9"/>
        <v>4181405547.1999998</v>
      </c>
      <c r="M14" s="17">
        <f t="shared" si="9"/>
        <v>4234103547.1999998</v>
      </c>
      <c r="N14" s="17">
        <f t="shared" si="9"/>
        <v>3381029547.1999998</v>
      </c>
      <c r="O14" s="17">
        <f t="shared" si="9"/>
        <v>2475773547.1999998</v>
      </c>
      <c r="P14" s="17">
        <f t="shared" si="9"/>
        <v>88481547.199999809</v>
      </c>
      <c r="Q14" s="17">
        <f>P14</f>
        <v>88481547.199999809</v>
      </c>
      <c r="R14" s="17">
        <f>Q14</f>
        <v>88481547.199999809</v>
      </c>
    </row>
    <row r="15" spans="1:19" x14ac:dyDescent="0.25">
      <c r="A15" s="19" t="s">
        <v>26</v>
      </c>
      <c r="B15" s="19"/>
      <c r="C15" s="20">
        <f>C9*100/70</f>
        <v>27467356</v>
      </c>
      <c r="D15" s="20">
        <f>B15+C15</f>
        <v>27467356</v>
      </c>
      <c r="E15" s="20"/>
      <c r="F15" s="20"/>
      <c r="G15" s="20">
        <v>63985106</v>
      </c>
      <c r="H15" s="20">
        <v>121936616</v>
      </c>
      <c r="I15" s="20">
        <v>91452462</v>
      </c>
      <c r="J15" s="20"/>
      <c r="K15" s="20">
        <f>K9*100/70</f>
        <v>0</v>
      </c>
      <c r="L15" s="20"/>
      <c r="M15" s="20">
        <v>1189050000</v>
      </c>
      <c r="N15" s="20">
        <f>1398613000*1.2</f>
        <v>1678335600</v>
      </c>
      <c r="O15" s="20">
        <f>1419302000*1.2</f>
        <v>1703162400</v>
      </c>
      <c r="P15" s="20">
        <f>2388512000*1.2</f>
        <v>2866214400</v>
      </c>
      <c r="Q15" s="21">
        <f>E15+F15+G15+H15+I15+J15+K15+L15+M15+N15+O15+P15</f>
        <v>7714136584</v>
      </c>
      <c r="R15" s="21">
        <f t="shared" si="3"/>
        <v>7741603940</v>
      </c>
      <c r="S15" s="100"/>
    </row>
    <row r="16" spans="1:19" x14ac:dyDescent="0.25">
      <c r="A16" s="22" t="s">
        <v>27</v>
      </c>
      <c r="B16" s="22"/>
      <c r="C16" s="23">
        <f>C15*30%</f>
        <v>8240206.7999999998</v>
      </c>
      <c r="D16" s="23">
        <f>D15-D9</f>
        <v>8240206.8000000007</v>
      </c>
      <c r="E16" s="23"/>
      <c r="F16" s="23">
        <f t="shared" ref="F16" si="10">F15*30%</f>
        <v>0</v>
      </c>
      <c r="G16" s="23">
        <v>30953705.489999998</v>
      </c>
      <c r="H16" s="23">
        <f>H15-H9</f>
        <v>52258549.709999993</v>
      </c>
      <c r="I16" s="23"/>
      <c r="J16" s="23"/>
      <c r="K16" s="23">
        <f>K15*30%</f>
        <v>0</v>
      </c>
      <c r="L16" s="23"/>
      <c r="M16" s="23">
        <f>M15*30%</f>
        <v>356715000</v>
      </c>
      <c r="N16" s="23">
        <f>N15*30%</f>
        <v>503500680</v>
      </c>
      <c r="O16" s="23">
        <f>O15*30%</f>
        <v>510948720</v>
      </c>
      <c r="P16" s="23">
        <f>P15*30%</f>
        <v>859864320</v>
      </c>
      <c r="Q16" s="24">
        <f>E16+F16+G16+H16+I16+J16+K16+L16+M16+N16+O16+P16</f>
        <v>2314240975.1999998</v>
      </c>
      <c r="R16" s="24">
        <f t="shared" si="3"/>
        <v>2322481182</v>
      </c>
    </row>
    <row r="17" spans="1:18" x14ac:dyDescent="0.25">
      <c r="A17" s="25"/>
      <c r="B17" s="25"/>
      <c r="C17" s="26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</row>
    <row r="18" spans="1:18" hidden="1" x14ac:dyDescent="0.25">
      <c r="A18" s="25"/>
      <c r="B18" s="25"/>
      <c r="C18" s="26"/>
      <c r="D18" s="46" t="s">
        <v>36</v>
      </c>
      <c r="E18" s="26"/>
      <c r="F18" s="26"/>
      <c r="G18" s="26"/>
      <c r="H18" s="45" t="s">
        <v>37</v>
      </c>
      <c r="I18" s="52"/>
      <c r="J18" s="45"/>
      <c r="K18" s="26"/>
      <c r="L18" s="26"/>
      <c r="M18" s="26"/>
      <c r="N18" s="26"/>
      <c r="O18" s="26"/>
      <c r="P18" s="26"/>
      <c r="Q18" s="27"/>
    </row>
    <row r="19" spans="1:18" ht="40.5" hidden="1" x14ac:dyDescent="0.25">
      <c r="A19" s="66" t="s">
        <v>32</v>
      </c>
      <c r="B19" s="25"/>
      <c r="C19" s="26"/>
      <c r="D19" s="58">
        <v>20915162.57</v>
      </c>
      <c r="E19" s="26"/>
      <c r="G19" s="65" t="s">
        <v>40</v>
      </c>
      <c r="H19" s="58">
        <f>10290372*1.2</f>
        <v>12348446.4</v>
      </c>
      <c r="I19" s="53"/>
      <c r="K19" s="64" t="s">
        <v>34</v>
      </c>
      <c r="L19" s="46">
        <f>3730900+3240500</f>
        <v>6971400</v>
      </c>
      <c r="M19" s="26"/>
      <c r="N19" s="26"/>
      <c r="O19" s="26"/>
      <c r="P19" s="47">
        <f>P20/D19</f>
        <v>9.9995397740769265E-2</v>
      </c>
      <c r="Q19" s="59" t="s">
        <v>39</v>
      </c>
    </row>
    <row r="20" spans="1:18" hidden="1" x14ac:dyDescent="0.25">
      <c r="A20" s="66" t="s">
        <v>33</v>
      </c>
      <c r="B20" s="25"/>
      <c r="C20" s="26"/>
      <c r="D20" s="67">
        <f>D19*30%</f>
        <v>6274548.7709999997</v>
      </c>
      <c r="E20" s="26"/>
      <c r="F20" s="182" t="s">
        <v>46</v>
      </c>
      <c r="G20" s="182"/>
      <c r="H20" s="55">
        <f>H19*H24</f>
        <v>0</v>
      </c>
      <c r="I20" s="53"/>
      <c r="J20" s="26"/>
      <c r="K20" s="45" t="s">
        <v>33</v>
      </c>
      <c r="L20" s="56">
        <f>L19*0.3</f>
        <v>2091420</v>
      </c>
      <c r="M20" s="26"/>
      <c r="N20" s="182" t="s">
        <v>41</v>
      </c>
      <c r="O20" s="182"/>
      <c r="P20" s="55">
        <f>H20+L20</f>
        <v>2091420</v>
      </c>
      <c r="Q20" s="49">
        <f>P20-R11/1000-R8/1000</f>
        <v>-4183128.7710000002</v>
      </c>
      <c r="R20" s="50" t="s">
        <v>42</v>
      </c>
    </row>
    <row r="21" spans="1:18" hidden="1" x14ac:dyDescent="0.25">
      <c r="A21" s="25" t="s">
        <v>32</v>
      </c>
      <c r="B21" s="25"/>
      <c r="C21" s="26"/>
      <c r="D21" s="26">
        <v>25091976.5</v>
      </c>
      <c r="E21" s="26"/>
      <c r="F21" s="26"/>
      <c r="G21" s="26"/>
      <c r="H21" s="47">
        <f>H20/H19</f>
        <v>0</v>
      </c>
      <c r="I21" s="54"/>
      <c r="J21" s="26"/>
      <c r="K21" s="45"/>
      <c r="L21" s="26"/>
      <c r="M21" s="26"/>
      <c r="N21" s="182"/>
      <c r="O21" s="182"/>
      <c r="P21" s="26"/>
      <c r="Q21" s="27"/>
    </row>
    <row r="22" spans="1:18" hidden="1" x14ac:dyDescent="0.25">
      <c r="A22" s="25" t="s">
        <v>33</v>
      </c>
      <c r="B22" s="25"/>
      <c r="C22" s="26"/>
      <c r="D22" s="57">
        <f>D21*30%</f>
        <v>7527592.9500000002</v>
      </c>
      <c r="E22" s="26"/>
      <c r="F22" s="26"/>
      <c r="G22" s="26"/>
      <c r="H22" s="47"/>
      <c r="I22" s="54"/>
      <c r="J22" s="26"/>
      <c r="K22" s="45"/>
      <c r="L22" s="26"/>
      <c r="M22" s="26"/>
      <c r="N22" s="48"/>
      <c r="O22" s="48"/>
      <c r="P22" s="47"/>
      <c r="Q22" s="27"/>
    </row>
    <row r="23" spans="1:18" ht="50.1" customHeight="1" x14ac:dyDescent="0.25">
      <c r="A23" s="99" t="s">
        <v>51</v>
      </c>
      <c r="B23" s="68"/>
      <c r="C23" s="69"/>
      <c r="D23" s="73"/>
      <c r="E23" s="74"/>
      <c r="H23" s="99" t="s">
        <v>52</v>
      </c>
    </row>
    <row r="24" spans="1:18" hidden="1" x14ac:dyDescent="0.25">
      <c r="A24" s="98" t="s">
        <v>50</v>
      </c>
      <c r="B24" s="25"/>
      <c r="C24" s="26"/>
      <c r="D24" s="26"/>
      <c r="E24" s="26"/>
      <c r="F24" s="182"/>
      <c r="G24" s="182"/>
      <c r="H24" s="63"/>
      <c r="I24" s="54"/>
      <c r="J24" s="26"/>
      <c r="K24" s="45"/>
      <c r="L24" s="45"/>
      <c r="M24" s="26"/>
      <c r="N24" s="182"/>
      <c r="O24" s="182"/>
      <c r="P24" s="26"/>
      <c r="Q24" s="27"/>
      <c r="R24" s="50"/>
    </row>
    <row r="25" spans="1:18" ht="20.25" hidden="1" x14ac:dyDescent="0.25">
      <c r="A25" s="28"/>
      <c r="F25" s="26"/>
      <c r="G25" s="26"/>
      <c r="H25" s="47"/>
      <c r="N25" s="182"/>
      <c r="O25" s="182"/>
      <c r="P25" s="26"/>
    </row>
    <row r="26" spans="1:18" hidden="1" x14ac:dyDescent="0.25">
      <c r="A26" s="76" t="s">
        <v>2</v>
      </c>
      <c r="D26" s="76"/>
      <c r="E26" s="183">
        <v>2021</v>
      </c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5"/>
    </row>
    <row r="27" spans="1:18" hidden="1" x14ac:dyDescent="0.25">
      <c r="A27" s="76"/>
      <c r="D27" s="77"/>
      <c r="E27" s="77" t="s">
        <v>7</v>
      </c>
      <c r="F27" s="77" t="s">
        <v>8</v>
      </c>
      <c r="G27" s="77" t="s">
        <v>9</v>
      </c>
      <c r="H27" s="77" t="s">
        <v>10</v>
      </c>
      <c r="I27" s="77" t="s">
        <v>11</v>
      </c>
      <c r="J27" s="77" t="s">
        <v>12</v>
      </c>
      <c r="K27" s="77" t="s">
        <v>13</v>
      </c>
      <c r="L27" s="77" t="s">
        <v>14</v>
      </c>
      <c r="M27" s="77" t="s">
        <v>15</v>
      </c>
      <c r="N27" s="77" t="s">
        <v>16</v>
      </c>
      <c r="O27" s="77" t="s">
        <v>4</v>
      </c>
      <c r="P27" s="77" t="s">
        <v>5</v>
      </c>
      <c r="Q27" s="77" t="s">
        <v>6</v>
      </c>
    </row>
    <row r="28" spans="1:18" ht="51" hidden="1" x14ac:dyDescent="0.25">
      <c r="A28" s="6" t="s">
        <v>17</v>
      </c>
      <c r="D28" s="87"/>
      <c r="E28" s="87">
        <f t="shared" ref="E28:P28" si="11">E29</f>
        <v>0</v>
      </c>
      <c r="F28" s="87">
        <f t="shared" si="11"/>
        <v>0</v>
      </c>
      <c r="G28" s="87">
        <f t="shared" si="11"/>
        <v>0</v>
      </c>
      <c r="H28" s="88">
        <f t="shared" si="11"/>
        <v>0</v>
      </c>
      <c r="I28" s="88">
        <f t="shared" si="11"/>
        <v>578790360</v>
      </c>
      <c r="J28" s="88">
        <f t="shared" si="11"/>
        <v>1421756628</v>
      </c>
      <c r="K28" s="88">
        <f t="shared" si="11"/>
        <v>3160000000</v>
      </c>
      <c r="L28" s="88">
        <f t="shared" si="11"/>
        <v>274000000</v>
      </c>
      <c r="M28" s="88">
        <f t="shared" si="11"/>
        <v>0</v>
      </c>
      <c r="N28" s="88">
        <f t="shared" si="11"/>
        <v>5000000000</v>
      </c>
      <c r="O28" s="88">
        <f t="shared" si="11"/>
        <v>0</v>
      </c>
      <c r="P28" s="88">
        <f t="shared" si="11"/>
        <v>110690040</v>
      </c>
      <c r="Q28" s="88">
        <f>Q29</f>
        <v>10545237028</v>
      </c>
    </row>
    <row r="29" spans="1:18" ht="38.25" hidden="1" x14ac:dyDescent="0.25">
      <c r="A29" s="8" t="s">
        <v>29</v>
      </c>
      <c r="D29" s="89"/>
      <c r="E29" s="89">
        <f t="shared" ref="E29:P29" si="12">E30+E33</f>
        <v>0</v>
      </c>
      <c r="F29" s="89">
        <f t="shared" si="12"/>
        <v>0</v>
      </c>
      <c r="G29" s="89">
        <f t="shared" si="12"/>
        <v>0</v>
      </c>
      <c r="H29" s="90">
        <f t="shared" si="12"/>
        <v>0</v>
      </c>
      <c r="I29" s="90">
        <f t="shared" si="12"/>
        <v>578790360</v>
      </c>
      <c r="J29" s="90">
        <f t="shared" si="12"/>
        <v>1421756628</v>
      </c>
      <c r="K29" s="90">
        <f t="shared" si="12"/>
        <v>3160000000</v>
      </c>
      <c r="L29" s="90">
        <f t="shared" si="12"/>
        <v>274000000</v>
      </c>
      <c r="M29" s="90">
        <f t="shared" si="12"/>
        <v>0</v>
      </c>
      <c r="N29" s="90">
        <f t="shared" si="12"/>
        <v>5000000000</v>
      </c>
      <c r="O29" s="90">
        <f t="shared" si="12"/>
        <v>0</v>
      </c>
      <c r="P29" s="90">
        <f t="shared" si="12"/>
        <v>110690040</v>
      </c>
      <c r="Q29" s="90">
        <f>Q30+Q33</f>
        <v>10545237028</v>
      </c>
    </row>
    <row r="30" spans="1:18" hidden="1" x14ac:dyDescent="0.25">
      <c r="A30" s="11" t="s">
        <v>19</v>
      </c>
      <c r="D30" s="91"/>
      <c r="E30" s="91">
        <f t="shared" ref="E30:F30" si="13">E31+E32</f>
        <v>0</v>
      </c>
      <c r="F30" s="91">
        <f t="shared" si="13"/>
        <v>0</v>
      </c>
      <c r="G30" s="91">
        <f>G31+G32</f>
        <v>0</v>
      </c>
      <c r="H30" s="92">
        <f>H31+H32</f>
        <v>0</v>
      </c>
      <c r="I30" s="92">
        <f t="shared" ref="I30:P30" si="14">I31+I32</f>
        <v>0</v>
      </c>
      <c r="J30" s="92">
        <f t="shared" si="14"/>
        <v>264220000</v>
      </c>
      <c r="K30" s="92">
        <f t="shared" si="14"/>
        <v>0</v>
      </c>
      <c r="L30" s="92">
        <f t="shared" si="14"/>
        <v>274000000</v>
      </c>
      <c r="M30" s="92">
        <f t="shared" si="14"/>
        <v>0</v>
      </c>
      <c r="N30" s="92">
        <f t="shared" si="14"/>
        <v>0</v>
      </c>
      <c r="O30" s="92">
        <f t="shared" si="14"/>
        <v>0</v>
      </c>
      <c r="P30" s="92">
        <f t="shared" si="14"/>
        <v>110690040</v>
      </c>
      <c r="Q30" s="92">
        <f>Q31+Q32</f>
        <v>648910040</v>
      </c>
    </row>
    <row r="31" spans="1:18" hidden="1" x14ac:dyDescent="0.25">
      <c r="A31" s="14" t="s">
        <v>20</v>
      </c>
      <c r="D31" s="89"/>
      <c r="E31" s="89"/>
      <c r="F31" s="89"/>
      <c r="G31" s="89"/>
      <c r="H31" s="90"/>
      <c r="I31" s="90"/>
      <c r="J31" s="90"/>
      <c r="K31" s="90"/>
      <c r="L31" s="90"/>
      <c r="M31" s="90"/>
      <c r="N31" s="90"/>
      <c r="O31" s="90"/>
      <c r="P31" s="90"/>
      <c r="Q31" s="90">
        <f>E31+F31+G31+H31+I31+J31+K31+L31+M31+N31+O31+P31</f>
        <v>0</v>
      </c>
    </row>
    <row r="32" spans="1:18" hidden="1" x14ac:dyDescent="0.25">
      <c r="A32" s="14" t="s">
        <v>21</v>
      </c>
      <c r="D32" s="89"/>
      <c r="E32" s="89"/>
      <c r="F32" s="89"/>
      <c r="G32" s="89"/>
      <c r="H32" s="90"/>
      <c r="I32" s="90"/>
      <c r="J32" s="90">
        <v>264220000</v>
      </c>
      <c r="K32" s="90"/>
      <c r="L32" s="90">
        <v>274000000</v>
      </c>
      <c r="M32" s="90"/>
      <c r="N32" s="90"/>
      <c r="O32" s="90"/>
      <c r="P32" s="90">
        <f>648910040-538230000+10000</f>
        <v>110690040</v>
      </c>
      <c r="Q32" s="90">
        <f>E32+F32+G32+H32+I32+J32+K32+L32+M32+N32+O32+P32</f>
        <v>648910040</v>
      </c>
    </row>
    <row r="33" spans="1:17" hidden="1" x14ac:dyDescent="0.25">
      <c r="A33" s="11" t="s">
        <v>22</v>
      </c>
      <c r="D33" s="91"/>
      <c r="E33" s="91">
        <f t="shared" ref="E33:P33" si="15">E35+E34</f>
        <v>0</v>
      </c>
      <c r="F33" s="91">
        <f t="shared" si="15"/>
        <v>0</v>
      </c>
      <c r="G33" s="91">
        <f t="shared" si="15"/>
        <v>0</v>
      </c>
      <c r="H33" s="92">
        <f t="shared" si="15"/>
        <v>0</v>
      </c>
      <c r="I33" s="92">
        <f t="shared" si="15"/>
        <v>578790360</v>
      </c>
      <c r="J33" s="92">
        <f t="shared" si="15"/>
        <v>1157536628</v>
      </c>
      <c r="K33" s="92">
        <f t="shared" si="15"/>
        <v>3160000000</v>
      </c>
      <c r="L33" s="92">
        <f t="shared" si="15"/>
        <v>0</v>
      </c>
      <c r="M33" s="92">
        <f t="shared" si="15"/>
        <v>0</v>
      </c>
      <c r="N33" s="92">
        <f t="shared" si="15"/>
        <v>5000000000</v>
      </c>
      <c r="O33" s="92">
        <f t="shared" si="15"/>
        <v>0</v>
      </c>
      <c r="P33" s="92">
        <f t="shared" si="15"/>
        <v>0</v>
      </c>
      <c r="Q33" s="92">
        <f>Q34+Q35</f>
        <v>9896326988</v>
      </c>
    </row>
    <row r="34" spans="1:17" hidden="1" x14ac:dyDescent="0.25">
      <c r="A34" s="14" t="s">
        <v>20</v>
      </c>
      <c r="D34" s="89"/>
      <c r="E34" s="89"/>
      <c r="F34" s="89"/>
      <c r="G34" s="89"/>
      <c r="H34" s="90"/>
      <c r="I34" s="90">
        <v>578790360</v>
      </c>
      <c r="J34" s="90">
        <v>1157536628</v>
      </c>
      <c r="K34" s="90">
        <v>3160000000</v>
      </c>
      <c r="L34" s="90">
        <v>0</v>
      </c>
      <c r="M34" s="90">
        <v>0</v>
      </c>
      <c r="N34" s="90">
        <v>5000000000</v>
      </c>
      <c r="O34" s="90"/>
      <c r="P34" s="90"/>
      <c r="Q34" s="90">
        <f>E34+F34+G34+H34+I34+J34+K34+L34+M34+N34+O34+P34</f>
        <v>9896326988</v>
      </c>
    </row>
    <row r="35" spans="1:17" hidden="1" x14ac:dyDescent="0.25">
      <c r="A35" s="14" t="s">
        <v>21</v>
      </c>
      <c r="D35" s="89"/>
      <c r="E35" s="89"/>
      <c r="F35" s="89"/>
      <c r="G35" s="89"/>
      <c r="H35" s="90"/>
      <c r="I35" s="90"/>
      <c r="J35" s="90"/>
      <c r="K35" s="90"/>
      <c r="L35" s="90"/>
      <c r="M35" s="90"/>
      <c r="N35" s="90"/>
      <c r="O35" s="90"/>
      <c r="P35" s="90"/>
      <c r="Q35" s="90">
        <f>E35+F35+G35+H35+I35+J35+K35+L35+M35+N35+O35+P35</f>
        <v>0</v>
      </c>
    </row>
    <row r="36" spans="1:17" hidden="1" x14ac:dyDescent="0.25">
      <c r="A36" s="16" t="s">
        <v>49</v>
      </c>
      <c r="D36" s="17"/>
      <c r="E36" s="17"/>
      <c r="F36" s="17"/>
      <c r="G36" s="17"/>
      <c r="H36" s="93">
        <v>200000000</v>
      </c>
      <c r="I36" s="93">
        <v>614200000</v>
      </c>
      <c r="J36" s="93">
        <v>450000000</v>
      </c>
      <c r="K36" s="93">
        <v>500000000</v>
      </c>
      <c r="L36" s="93">
        <v>774010000</v>
      </c>
      <c r="M36" s="93">
        <v>500000000</v>
      </c>
      <c r="N36" s="93">
        <v>500000000</v>
      </c>
      <c r="O36" s="93">
        <f>N36</f>
        <v>500000000</v>
      </c>
      <c r="P36" s="93">
        <v>515900000</v>
      </c>
      <c r="Q36" s="93">
        <f>E36+F36+G36+H36+I36+J36+K36+L36+M36+N36+O36+P36</f>
        <v>4554110000</v>
      </c>
    </row>
    <row r="37" spans="1:17" hidden="1" x14ac:dyDescent="0.25">
      <c r="A37" s="16" t="s">
        <v>25</v>
      </c>
      <c r="D37" s="17"/>
      <c r="E37" s="17">
        <f>D37+E36</f>
        <v>0</v>
      </c>
      <c r="F37" s="17">
        <f>E37+F36</f>
        <v>0</v>
      </c>
      <c r="G37" s="17">
        <f>F37+G36</f>
        <v>0</v>
      </c>
      <c r="H37" s="93">
        <f>G37+H36</f>
        <v>200000000</v>
      </c>
      <c r="I37" s="93">
        <f>I36+H37-I30</f>
        <v>814200000</v>
      </c>
      <c r="J37" s="93">
        <f t="shared" ref="J37:O37" si="16">J36+I37</f>
        <v>1264200000</v>
      </c>
      <c r="K37" s="93">
        <f t="shared" si="16"/>
        <v>1764200000</v>
      </c>
      <c r="L37" s="93">
        <f>L36+K37-L30</f>
        <v>2264210000</v>
      </c>
      <c r="M37" s="93">
        <f t="shared" si="16"/>
        <v>2764210000</v>
      </c>
      <c r="N37" s="93">
        <f t="shared" si="16"/>
        <v>3264210000</v>
      </c>
      <c r="O37" s="93">
        <f t="shared" si="16"/>
        <v>3764210000</v>
      </c>
      <c r="P37" s="93">
        <f>P36+O37-P30</f>
        <v>4169419960</v>
      </c>
      <c r="Q37" s="93">
        <f>P37</f>
        <v>4169419960</v>
      </c>
    </row>
    <row r="38" spans="1:17" hidden="1" x14ac:dyDescent="0.25">
      <c r="A38" s="19" t="s">
        <v>26</v>
      </c>
      <c r="B38" s="78"/>
      <c r="C38" s="79">
        <f>C32*100/70</f>
        <v>0</v>
      </c>
      <c r="D38" s="94">
        <f>B38+C38</f>
        <v>0</v>
      </c>
      <c r="E38" s="94"/>
      <c r="F38" s="94">
        <f>F32*100/70</f>
        <v>0</v>
      </c>
      <c r="G38" s="94">
        <f>G32*100/70</f>
        <v>0</v>
      </c>
      <c r="H38" s="94">
        <f>H32*100/70</f>
        <v>0</v>
      </c>
      <c r="I38" s="94">
        <f>I32</f>
        <v>0</v>
      </c>
      <c r="J38" s="94">
        <f>J32</f>
        <v>264220000</v>
      </c>
      <c r="K38" s="94">
        <f>K32*100/70</f>
        <v>0</v>
      </c>
      <c r="L38" s="94">
        <f>L32</f>
        <v>274000000</v>
      </c>
      <c r="M38" s="94"/>
      <c r="N38" s="94"/>
      <c r="O38" s="94"/>
      <c r="P38" s="94">
        <f>P32</f>
        <v>110690040</v>
      </c>
      <c r="Q38" s="95">
        <f>E38+F38+G38+H38+I38+J38+K38+L38+M38+N38+O38+P38</f>
        <v>648910040</v>
      </c>
    </row>
    <row r="39" spans="1:17" hidden="1" x14ac:dyDescent="0.25">
      <c r="A39" s="22" t="s">
        <v>27</v>
      </c>
      <c r="B39" s="81"/>
      <c r="C39" s="82">
        <f>C38*30%</f>
        <v>0</v>
      </c>
      <c r="D39" s="96">
        <f>B39+C39</f>
        <v>0</v>
      </c>
      <c r="E39" s="96"/>
      <c r="F39" s="96">
        <f t="shared" ref="F39:H39" si="17">F38*30%</f>
        <v>0</v>
      </c>
      <c r="G39" s="96">
        <f t="shared" si="17"/>
        <v>0</v>
      </c>
      <c r="H39" s="96">
        <f t="shared" si="17"/>
        <v>0</v>
      </c>
      <c r="I39" s="96"/>
      <c r="J39" s="96"/>
      <c r="K39" s="96">
        <f>K38*30%</f>
        <v>0</v>
      </c>
      <c r="L39" s="96"/>
      <c r="M39" s="96"/>
      <c r="N39" s="96"/>
      <c r="O39" s="96"/>
      <c r="P39" s="96"/>
      <c r="Q39" s="97">
        <f>E39+F39+G39+H39+I39+J39+K39+L39+M39+N39+O39+P39</f>
        <v>0</v>
      </c>
    </row>
    <row r="40" spans="1:17" hidden="1" x14ac:dyDescent="0.25"/>
    <row r="41" spans="1:17" hidden="1" x14ac:dyDescent="0.25"/>
    <row r="42" spans="1:17" hidden="1" x14ac:dyDescent="0.25">
      <c r="A42" s="84"/>
      <c r="B42" s="84"/>
      <c r="C42" s="85"/>
      <c r="D42" s="86"/>
      <c r="E42" s="75"/>
      <c r="F42" s="71"/>
    </row>
    <row r="43" spans="1:17" ht="15.75" hidden="1" x14ac:dyDescent="0.25">
      <c r="A43" s="99" t="s">
        <v>51</v>
      </c>
      <c r="B43" s="68"/>
      <c r="C43" s="69"/>
      <c r="D43" s="73"/>
      <c r="E43" s="74"/>
      <c r="H43" s="71" t="s">
        <v>52</v>
      </c>
    </row>
    <row r="44" spans="1:17" x14ac:dyDescent="0.25">
      <c r="A44" s="70"/>
      <c r="B44" s="68"/>
      <c r="C44" s="69"/>
      <c r="D44" s="73"/>
      <c r="E44" s="74"/>
      <c r="F44" s="71"/>
    </row>
    <row r="45" spans="1:17" x14ac:dyDescent="0.25">
      <c r="A45" s="71"/>
      <c r="B45" s="71"/>
      <c r="C45" s="71"/>
      <c r="D45" s="72"/>
      <c r="E45" s="72"/>
      <c r="F45" s="71"/>
    </row>
    <row r="46" spans="1:17" x14ac:dyDescent="0.25">
      <c r="A46" s="71"/>
      <c r="B46" s="71"/>
      <c r="C46" s="71"/>
      <c r="D46" s="71"/>
      <c r="E46" s="71"/>
      <c r="F46" s="71"/>
    </row>
  </sheetData>
  <mergeCells count="11">
    <mergeCell ref="A1:D1"/>
    <mergeCell ref="A3:A4"/>
    <mergeCell ref="B3:D3"/>
    <mergeCell ref="E3:Q3"/>
    <mergeCell ref="F20:G20"/>
    <mergeCell ref="N20:O20"/>
    <mergeCell ref="N21:O21"/>
    <mergeCell ref="F24:G24"/>
    <mergeCell ref="N24:O24"/>
    <mergeCell ref="N25:O25"/>
    <mergeCell ref="E26:Q26"/>
  </mergeCells>
  <pageMargins left="0.31496062992125984" right="0.31496062992125984" top="0.35433070866141736" bottom="0.35433070866141736" header="0.11811023622047245" footer="0.11811023622047245"/>
  <pageSetup paperSize="8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X45"/>
  <sheetViews>
    <sheetView tabSelected="1" zoomScale="80" zoomScaleNormal="80" zoomScaleSheetLayoutView="70" workbookViewId="0">
      <selection activeCell="I2" sqref="I2:O2"/>
    </sheetView>
  </sheetViews>
  <sheetFormatPr defaultRowHeight="15" outlineLevelRow="1" x14ac:dyDescent="0.25"/>
  <cols>
    <col min="1" max="1" width="44.7109375" bestFit="1" customWidth="1"/>
    <col min="2" max="2" width="23.7109375" customWidth="1"/>
    <col min="3" max="3" width="15.140625" customWidth="1"/>
    <col min="4" max="4" width="15.42578125" customWidth="1"/>
    <col min="5" max="5" width="17.42578125" customWidth="1"/>
    <col min="6" max="6" width="18.42578125" customWidth="1"/>
    <col min="7" max="7" width="16.42578125" customWidth="1"/>
    <col min="8" max="8" width="14.28515625" customWidth="1"/>
    <col min="9" max="9" width="15.28515625" customWidth="1"/>
    <col min="10" max="12" width="14.28515625" customWidth="1"/>
    <col min="13" max="14" width="16.140625" customWidth="1"/>
    <col min="15" max="15" width="18.42578125" bestFit="1" customWidth="1"/>
    <col min="16" max="24" width="18.42578125" customWidth="1"/>
    <col min="25" max="25" width="19.42578125" customWidth="1"/>
    <col min="26" max="26" width="17.28515625" customWidth="1"/>
    <col min="27" max="27" width="17.140625" customWidth="1"/>
  </cols>
  <sheetData>
    <row r="1" spans="1:24" ht="23.25" customHeight="1" x14ac:dyDescent="0.3">
      <c r="A1" s="195" t="s">
        <v>151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57"/>
      <c r="Q1" s="157"/>
      <c r="R1" s="157"/>
      <c r="S1" s="157"/>
      <c r="T1" s="158"/>
      <c r="U1" s="157"/>
      <c r="V1" s="157"/>
      <c r="W1" s="157"/>
      <c r="X1" s="157"/>
    </row>
    <row r="2" spans="1:24" ht="23.25" customHeight="1" x14ac:dyDescent="0.3">
      <c r="A2" s="169"/>
      <c r="B2" s="169"/>
      <c r="C2" s="169"/>
      <c r="D2" s="169"/>
      <c r="E2" s="169"/>
      <c r="F2" s="169"/>
      <c r="G2" s="169"/>
      <c r="H2" s="169"/>
      <c r="I2" s="195" t="s">
        <v>155</v>
      </c>
      <c r="J2" s="195"/>
      <c r="K2" s="195"/>
      <c r="L2" s="195"/>
      <c r="M2" s="195"/>
      <c r="N2" s="195"/>
      <c r="O2" s="195"/>
      <c r="P2" s="157"/>
      <c r="Q2" s="157"/>
      <c r="R2" s="157"/>
      <c r="S2" s="157"/>
      <c r="T2" s="158"/>
      <c r="U2" s="157"/>
      <c r="V2" s="157"/>
      <c r="W2" s="157"/>
      <c r="X2" s="157"/>
    </row>
    <row r="3" spans="1:24" ht="23.25" customHeight="1" x14ac:dyDescent="0.3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95"/>
      <c r="N3" s="195"/>
      <c r="O3" s="195"/>
      <c r="P3" s="157"/>
      <c r="Q3" s="157"/>
      <c r="R3" s="157"/>
      <c r="S3" s="157"/>
      <c r="T3" s="158"/>
      <c r="U3" s="157"/>
      <c r="V3" s="157"/>
      <c r="W3" s="157"/>
      <c r="X3" s="157"/>
    </row>
    <row r="4" spans="1:24" ht="23.25" customHeight="1" x14ac:dyDescent="0.3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95"/>
      <c r="M4" s="195"/>
      <c r="N4" s="195"/>
      <c r="O4" s="195"/>
      <c r="P4" s="157"/>
      <c r="Q4" s="157"/>
      <c r="R4" s="157"/>
      <c r="S4" s="157"/>
      <c r="T4" s="158"/>
      <c r="U4" s="157"/>
      <c r="V4" s="157"/>
      <c r="W4" s="157"/>
      <c r="X4" s="157"/>
    </row>
    <row r="5" spans="1:24" ht="51" customHeight="1" x14ac:dyDescent="0.25">
      <c r="A5" s="98"/>
      <c r="B5" s="196" t="s">
        <v>145</v>
      </c>
      <c r="C5" s="196"/>
      <c r="D5" s="196"/>
      <c r="E5" s="196"/>
      <c r="F5" s="196"/>
      <c r="G5" s="196"/>
      <c r="H5" s="196"/>
      <c r="I5" s="196"/>
      <c r="J5" s="196"/>
      <c r="K5" s="196"/>
      <c r="T5" s="159"/>
      <c r="U5" s="147"/>
    </row>
    <row r="6" spans="1:24" ht="33" customHeight="1" x14ac:dyDescent="0.25">
      <c r="A6" s="98"/>
      <c r="B6" s="127"/>
    </row>
    <row r="7" spans="1:24" ht="30.75" customHeight="1" x14ac:dyDescent="0.3">
      <c r="A7" s="128"/>
      <c r="B7" s="187" t="s">
        <v>141</v>
      </c>
      <c r="C7" s="189" t="s">
        <v>140</v>
      </c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24" ht="37.5" customHeight="1" x14ac:dyDescent="0.25">
      <c r="A8" s="131" t="s">
        <v>129</v>
      </c>
      <c r="B8" s="188"/>
      <c r="C8" s="132" t="s">
        <v>7</v>
      </c>
      <c r="D8" s="132" t="s">
        <v>8</v>
      </c>
      <c r="E8" s="132" t="s">
        <v>9</v>
      </c>
      <c r="F8" s="132" t="s">
        <v>10</v>
      </c>
      <c r="G8" s="132" t="s">
        <v>11</v>
      </c>
      <c r="H8" s="132" t="s">
        <v>12</v>
      </c>
      <c r="I8" s="132" t="s">
        <v>13</v>
      </c>
      <c r="J8" s="132" t="s">
        <v>14</v>
      </c>
      <c r="K8" s="132" t="s">
        <v>15</v>
      </c>
      <c r="L8" s="132" t="s">
        <v>16</v>
      </c>
      <c r="M8" s="132" t="s">
        <v>4</v>
      </c>
      <c r="N8" s="132" t="s">
        <v>5</v>
      </c>
      <c r="O8" s="132" t="s">
        <v>6</v>
      </c>
    </row>
    <row r="9" spans="1:24" ht="30" customHeight="1" x14ac:dyDescent="0.25">
      <c r="A9" s="144"/>
      <c r="B9" s="136">
        <f>B10+B13</f>
        <v>0</v>
      </c>
      <c r="C9" s="136">
        <f>C10+C13</f>
        <v>0</v>
      </c>
      <c r="D9" s="136">
        <f t="shared" ref="D9:K9" si="0">D10+D13</f>
        <v>0</v>
      </c>
      <c r="E9" s="136">
        <f t="shared" si="0"/>
        <v>0</v>
      </c>
      <c r="F9" s="136">
        <f t="shared" si="0"/>
        <v>0</v>
      </c>
      <c r="G9" s="136">
        <f t="shared" si="0"/>
        <v>0</v>
      </c>
      <c r="H9" s="136">
        <f t="shared" si="0"/>
        <v>0</v>
      </c>
      <c r="I9" s="136">
        <f t="shared" si="0"/>
        <v>0</v>
      </c>
      <c r="J9" s="136">
        <f t="shared" si="0"/>
        <v>0</v>
      </c>
      <c r="K9" s="136">
        <f t="shared" si="0"/>
        <v>0</v>
      </c>
      <c r="L9" s="136">
        <f>L10+L13</f>
        <v>0</v>
      </c>
      <c r="M9" s="136">
        <f t="shared" ref="M9:N9" si="1">M10+M13</f>
        <v>0</v>
      </c>
      <c r="N9" s="136">
        <f t="shared" si="1"/>
        <v>0</v>
      </c>
      <c r="O9" s="145">
        <f t="shared" ref="O9:O12" si="2">SUM(C9:N9)</f>
        <v>0</v>
      </c>
    </row>
    <row r="10" spans="1:24" ht="29.25" customHeight="1" x14ac:dyDescent="0.3">
      <c r="A10" s="133" t="s">
        <v>19</v>
      </c>
      <c r="B10" s="138">
        <f>+B11+B12</f>
        <v>0</v>
      </c>
      <c r="C10" s="138">
        <f>SUM(C11:C12)</f>
        <v>0</v>
      </c>
      <c r="D10" s="138">
        <f t="shared" ref="D10:N10" si="3">SUM(D11:D12)</f>
        <v>0</v>
      </c>
      <c r="E10" s="138">
        <f t="shared" si="3"/>
        <v>0</v>
      </c>
      <c r="F10" s="138">
        <f t="shared" si="3"/>
        <v>0</v>
      </c>
      <c r="G10" s="138">
        <f t="shared" si="3"/>
        <v>0</v>
      </c>
      <c r="H10" s="138">
        <f t="shared" si="3"/>
        <v>0</v>
      </c>
      <c r="I10" s="138">
        <f t="shared" si="3"/>
        <v>0</v>
      </c>
      <c r="J10" s="138">
        <f t="shared" si="3"/>
        <v>0</v>
      </c>
      <c r="K10" s="138">
        <f t="shared" si="3"/>
        <v>0</v>
      </c>
      <c r="L10" s="138">
        <f t="shared" si="3"/>
        <v>0</v>
      </c>
      <c r="M10" s="138">
        <f t="shared" si="3"/>
        <v>0</v>
      </c>
      <c r="N10" s="138">
        <f t="shared" si="3"/>
        <v>0</v>
      </c>
      <c r="O10" s="137">
        <f t="shared" si="2"/>
        <v>0</v>
      </c>
      <c r="P10" s="160"/>
      <c r="Q10" s="160"/>
      <c r="R10" s="160"/>
      <c r="S10" s="160"/>
      <c r="T10" s="159"/>
      <c r="U10" s="159"/>
      <c r="V10" s="160"/>
      <c r="W10" s="160"/>
      <c r="X10" s="160"/>
    </row>
    <row r="11" spans="1:24" ht="24.75" customHeight="1" x14ac:dyDescent="0.3">
      <c r="A11" s="134" t="s">
        <v>20</v>
      </c>
      <c r="B11" s="154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45">
        <f t="shared" si="2"/>
        <v>0</v>
      </c>
      <c r="P11" s="160"/>
      <c r="Q11" s="160"/>
      <c r="R11" s="160"/>
      <c r="S11" s="160"/>
      <c r="T11" s="160"/>
      <c r="U11" s="160"/>
      <c r="V11" s="160"/>
      <c r="W11" s="160"/>
      <c r="X11" s="160"/>
    </row>
    <row r="12" spans="1:24" ht="30" customHeight="1" x14ac:dyDescent="0.3">
      <c r="A12" s="134" t="s">
        <v>138</v>
      </c>
      <c r="B12" s="154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45">
        <f t="shared" si="2"/>
        <v>0</v>
      </c>
      <c r="P12" s="160"/>
      <c r="Q12" s="160"/>
      <c r="R12" s="160"/>
      <c r="S12" s="160"/>
      <c r="T12" s="160"/>
      <c r="U12" s="160"/>
      <c r="V12" s="160"/>
      <c r="W12" s="160"/>
      <c r="X12" s="160"/>
    </row>
    <row r="13" spans="1:24" ht="24" customHeight="1" outlineLevel="1" x14ac:dyDescent="0.3">
      <c r="A13" s="133" t="s">
        <v>22</v>
      </c>
      <c r="B13" s="138">
        <f>+B14+B15</f>
        <v>0</v>
      </c>
      <c r="C13" s="138">
        <f>SUM(C14:C15)</f>
        <v>0</v>
      </c>
      <c r="D13" s="138">
        <f>SUM(D14:D15)</f>
        <v>0</v>
      </c>
      <c r="E13" s="138">
        <f t="shared" ref="E13:F13" si="4">SUM(E14:E15)</f>
        <v>0</v>
      </c>
      <c r="F13" s="138">
        <f t="shared" si="4"/>
        <v>0</v>
      </c>
      <c r="G13" s="138">
        <f>SUM(G14:G15)</f>
        <v>0</v>
      </c>
      <c r="H13" s="138">
        <f>SUM(H14:H15)</f>
        <v>0</v>
      </c>
      <c r="I13" s="138">
        <f t="shared" ref="I13:O13" si="5">SUM(I14:I15)</f>
        <v>0</v>
      </c>
      <c r="J13" s="138">
        <f t="shared" si="5"/>
        <v>0</v>
      </c>
      <c r="K13" s="138">
        <f t="shared" si="5"/>
        <v>0</v>
      </c>
      <c r="L13" s="138">
        <f t="shared" si="5"/>
        <v>0</v>
      </c>
      <c r="M13" s="138">
        <f t="shared" si="5"/>
        <v>0</v>
      </c>
      <c r="N13" s="138">
        <f t="shared" si="5"/>
        <v>0</v>
      </c>
      <c r="O13" s="138">
        <f t="shared" si="5"/>
        <v>0</v>
      </c>
      <c r="P13" s="150"/>
      <c r="Q13" s="130"/>
      <c r="R13" s="130"/>
      <c r="S13" s="130"/>
      <c r="T13" s="130"/>
      <c r="U13" s="130"/>
      <c r="V13" s="130"/>
      <c r="W13" s="130"/>
      <c r="X13" s="130"/>
    </row>
    <row r="14" spans="1:24" ht="26.25" customHeight="1" outlineLevel="1" x14ac:dyDescent="0.25">
      <c r="A14" s="134" t="s">
        <v>20</v>
      </c>
      <c r="B14" s="154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45">
        <f t="shared" ref="O14" si="6">SUM(C14:N14)</f>
        <v>0</v>
      </c>
    </row>
    <row r="15" spans="1:24" ht="28.5" customHeight="1" outlineLevel="1" x14ac:dyDescent="0.25">
      <c r="A15" s="134" t="s">
        <v>139</v>
      </c>
      <c r="B15" s="154"/>
      <c r="C15" s="136"/>
      <c r="D15" s="136">
        <f t="shared" ref="D15" si="7">D21-D22</f>
        <v>0</v>
      </c>
      <c r="E15" s="136">
        <f>E21-E22</f>
        <v>0</v>
      </c>
      <c r="F15" s="136">
        <f t="shared" ref="F15:H15" si="8">F21-F22</f>
        <v>0</v>
      </c>
      <c r="G15" s="136">
        <f t="shared" si="8"/>
        <v>0</v>
      </c>
      <c r="H15" s="136">
        <f t="shared" si="8"/>
        <v>0</v>
      </c>
      <c r="I15" s="136">
        <f>I21-I22</f>
        <v>0</v>
      </c>
      <c r="J15" s="136">
        <f t="shared" ref="J15:O15" si="9">J21-J22</f>
        <v>0</v>
      </c>
      <c r="K15" s="136">
        <f t="shared" si="9"/>
        <v>0</v>
      </c>
      <c r="L15" s="136">
        <f t="shared" si="9"/>
        <v>0</v>
      </c>
      <c r="M15" s="136">
        <f t="shared" si="9"/>
        <v>0</v>
      </c>
      <c r="N15" s="136">
        <f t="shared" si="9"/>
        <v>0</v>
      </c>
      <c r="O15" s="163">
        <f t="shared" si="9"/>
        <v>0</v>
      </c>
    </row>
    <row r="16" spans="1:24" ht="27.75" customHeight="1" outlineLevel="1" x14ac:dyDescent="0.25">
      <c r="A16" s="146" t="s">
        <v>136</v>
      </c>
      <c r="B16" s="155"/>
      <c r="C16" s="139"/>
      <c r="D16" s="139"/>
      <c r="E16" s="139"/>
      <c r="F16" s="139"/>
      <c r="G16" s="139"/>
      <c r="H16" s="139"/>
      <c r="I16" s="139"/>
      <c r="J16" s="139"/>
      <c r="K16" s="139"/>
      <c r="L16" s="140"/>
      <c r="M16" s="140"/>
      <c r="N16" s="140"/>
      <c r="O16" s="164">
        <f>SUM(C16:N16)</f>
        <v>0</v>
      </c>
    </row>
    <row r="17" spans="1:24" ht="24.75" customHeight="1" outlineLevel="1" x14ac:dyDescent="0.25">
      <c r="A17" s="146" t="s">
        <v>134</v>
      </c>
      <c r="B17" s="155"/>
      <c r="C17" s="139">
        <f>B17+C16-C21</f>
        <v>0</v>
      </c>
      <c r="D17" s="139">
        <f t="shared" ref="D17" si="10">C17+D16-D21</f>
        <v>0</v>
      </c>
      <c r="E17" s="139">
        <f t="shared" ref="E17" si="11">D17+E16-E21</f>
        <v>0</v>
      </c>
      <c r="F17" s="139">
        <f t="shared" ref="F17" si="12">E17+F16-F21</f>
        <v>0</v>
      </c>
      <c r="G17" s="139">
        <f t="shared" ref="G17" si="13">F17+G16-G21</f>
        <v>0</v>
      </c>
      <c r="H17" s="139">
        <f t="shared" ref="H17" si="14">G17+H16-H21</f>
        <v>0</v>
      </c>
      <c r="I17" s="139">
        <f t="shared" ref="I17" si="15">H17+I16-I21</f>
        <v>0</v>
      </c>
      <c r="J17" s="139">
        <f t="shared" ref="J17" si="16">I17+J16-J21</f>
        <v>0</v>
      </c>
      <c r="K17" s="139">
        <f t="shared" ref="K17" si="17">J17+K16-K21</f>
        <v>0</v>
      </c>
      <c r="L17" s="139">
        <f t="shared" ref="L17" si="18">K17+L16-L21</f>
        <v>0</v>
      </c>
      <c r="M17" s="139">
        <f t="shared" ref="M17" si="19">L17+M16-M21</f>
        <v>0</v>
      </c>
      <c r="N17" s="139">
        <f t="shared" ref="N17" si="20">M17+N16-N21</f>
        <v>0</v>
      </c>
      <c r="O17" s="164">
        <f t="shared" ref="O17:O20" si="21">SUM(C17:N17)</f>
        <v>0</v>
      </c>
    </row>
    <row r="18" spans="1:24" ht="26.25" customHeight="1" outlineLevel="1" x14ac:dyDescent="0.25">
      <c r="A18" s="146" t="s">
        <v>142</v>
      </c>
      <c r="B18" s="155"/>
      <c r="C18" s="139">
        <f>SUM(C19:C20)</f>
        <v>0</v>
      </c>
      <c r="D18" s="139">
        <f t="shared" ref="D18:N18" si="22">SUM(D19:D20)</f>
        <v>0</v>
      </c>
      <c r="E18" s="139">
        <f t="shared" si="22"/>
        <v>0</v>
      </c>
      <c r="F18" s="139">
        <f t="shared" si="22"/>
        <v>0</v>
      </c>
      <c r="G18" s="139">
        <f t="shared" si="22"/>
        <v>0</v>
      </c>
      <c r="H18" s="139">
        <f t="shared" si="22"/>
        <v>0</v>
      </c>
      <c r="I18" s="139">
        <f t="shared" si="22"/>
        <v>0</v>
      </c>
      <c r="J18" s="139">
        <f t="shared" si="22"/>
        <v>0</v>
      </c>
      <c r="K18" s="139">
        <f t="shared" si="22"/>
        <v>0</v>
      </c>
      <c r="L18" s="139">
        <f t="shared" si="22"/>
        <v>0</v>
      </c>
      <c r="M18" s="139">
        <f t="shared" si="22"/>
        <v>0</v>
      </c>
      <c r="N18" s="139">
        <f t="shared" si="22"/>
        <v>0</v>
      </c>
      <c r="O18" s="164">
        <f t="shared" si="21"/>
        <v>0</v>
      </c>
    </row>
    <row r="19" spans="1:24" ht="26.25" customHeight="1" outlineLevel="1" x14ac:dyDescent="0.25">
      <c r="A19" s="162" t="s">
        <v>143</v>
      </c>
      <c r="B19" s="155"/>
      <c r="C19" s="139">
        <f>B19-C22</f>
        <v>0</v>
      </c>
      <c r="D19" s="139">
        <f t="shared" ref="D19" si="23">C19-D22</f>
        <v>0</v>
      </c>
      <c r="E19" s="139">
        <f t="shared" ref="E19" si="24">D19-E22</f>
        <v>0</v>
      </c>
      <c r="F19" s="139">
        <f t="shared" ref="F19" si="25">E19-F22</f>
        <v>0</v>
      </c>
      <c r="G19" s="139">
        <f t="shared" ref="G19" si="26">F19-G22</f>
        <v>0</v>
      </c>
      <c r="H19" s="139">
        <f t="shared" ref="H19" si="27">G19-H22</f>
        <v>0</v>
      </c>
      <c r="I19" s="139">
        <f t="shared" ref="I19" si="28">H19-I22</f>
        <v>0</v>
      </c>
      <c r="J19" s="139">
        <f t="shared" ref="J19" si="29">I19-J22</f>
        <v>0</v>
      </c>
      <c r="K19" s="139">
        <f t="shared" ref="K19" si="30">J19-K22</f>
        <v>0</v>
      </c>
      <c r="L19" s="139">
        <f t="shared" ref="L19" si="31">K19-L22</f>
        <v>0</v>
      </c>
      <c r="M19" s="139">
        <f t="shared" ref="M19" si="32">L19-M22</f>
        <v>0</v>
      </c>
      <c r="N19" s="139">
        <f t="shared" ref="N19" si="33">M19-N22</f>
        <v>0</v>
      </c>
      <c r="O19" s="164">
        <f t="shared" si="21"/>
        <v>0</v>
      </c>
    </row>
    <row r="20" spans="1:24" ht="28.5" customHeight="1" outlineLevel="1" x14ac:dyDescent="0.25">
      <c r="A20" s="162" t="s">
        <v>144</v>
      </c>
      <c r="B20" s="155"/>
      <c r="C20" s="139">
        <f>B20</f>
        <v>0</v>
      </c>
      <c r="D20" s="139">
        <f t="shared" ref="D20" si="34">C20</f>
        <v>0</v>
      </c>
      <c r="E20" s="139">
        <f t="shared" ref="E20" si="35">D20</f>
        <v>0</v>
      </c>
      <c r="F20" s="139">
        <f t="shared" ref="F20" si="36">E20</f>
        <v>0</v>
      </c>
      <c r="G20" s="139">
        <f t="shared" ref="G20" si="37">F20</f>
        <v>0</v>
      </c>
      <c r="H20" s="139">
        <f t="shared" ref="H20" si="38">G20</f>
        <v>0</v>
      </c>
      <c r="I20" s="139">
        <f t="shared" ref="I20" si="39">H20</f>
        <v>0</v>
      </c>
      <c r="J20" s="139">
        <f t="shared" ref="J20" si="40">I20</f>
        <v>0</v>
      </c>
      <c r="K20" s="139">
        <f t="shared" ref="K20" si="41">J20</f>
        <v>0</v>
      </c>
      <c r="L20" s="139">
        <f t="shared" ref="L20" si="42">K20</f>
        <v>0</v>
      </c>
      <c r="M20" s="139">
        <f t="shared" ref="M20" si="43">L20</f>
        <v>0</v>
      </c>
      <c r="N20" s="139">
        <f t="shared" ref="N20" si="44">M20</f>
        <v>0</v>
      </c>
      <c r="O20" s="164">
        <f t="shared" si="21"/>
        <v>0</v>
      </c>
    </row>
    <row r="21" spans="1:24" ht="28.5" customHeight="1" outlineLevel="1" x14ac:dyDescent="0.25">
      <c r="A21" s="141" t="s">
        <v>137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3"/>
      <c r="L21" s="143"/>
      <c r="M21" s="143"/>
      <c r="N21" s="143"/>
      <c r="O21" s="141">
        <f t="shared" ref="O21" si="45">SUM(C21:N21)</f>
        <v>0</v>
      </c>
    </row>
    <row r="22" spans="1:24" ht="26.25" customHeight="1" outlineLevel="1" x14ac:dyDescent="0.25">
      <c r="A22" s="142" t="s">
        <v>135</v>
      </c>
      <c r="B22" s="156"/>
      <c r="C22" s="143">
        <f t="shared" ref="C22:N22" si="46">C21*C23</f>
        <v>0</v>
      </c>
      <c r="D22" s="143">
        <f t="shared" si="46"/>
        <v>0</v>
      </c>
      <c r="E22" s="143">
        <f t="shared" si="46"/>
        <v>0</v>
      </c>
      <c r="F22" s="143">
        <f t="shared" si="46"/>
        <v>0</v>
      </c>
      <c r="G22" s="143">
        <f t="shared" si="46"/>
        <v>0</v>
      </c>
      <c r="H22" s="143">
        <f t="shared" si="46"/>
        <v>0</v>
      </c>
      <c r="I22" s="143">
        <f t="shared" si="46"/>
        <v>0</v>
      </c>
      <c r="J22" s="143">
        <f t="shared" si="46"/>
        <v>0</v>
      </c>
      <c r="K22" s="143">
        <f t="shared" si="46"/>
        <v>0</v>
      </c>
      <c r="L22" s="143">
        <f t="shared" si="46"/>
        <v>0</v>
      </c>
      <c r="M22" s="143">
        <f t="shared" si="46"/>
        <v>0</v>
      </c>
      <c r="N22" s="143">
        <f t="shared" si="46"/>
        <v>0</v>
      </c>
      <c r="O22" s="141">
        <f>SUM(C22:N22)</f>
        <v>0</v>
      </c>
    </row>
    <row r="23" spans="1:24" ht="16.5" outlineLevel="1" x14ac:dyDescent="0.25">
      <c r="A23" s="142" t="s">
        <v>148</v>
      </c>
      <c r="B23" s="156"/>
      <c r="C23" s="143">
        <f>C21*3%</f>
        <v>0</v>
      </c>
      <c r="D23" s="143">
        <f t="shared" ref="D23:N23" si="47">D21*3%</f>
        <v>0</v>
      </c>
      <c r="E23" s="143">
        <f t="shared" si="47"/>
        <v>0</v>
      </c>
      <c r="F23" s="143">
        <f t="shared" si="47"/>
        <v>0</v>
      </c>
      <c r="G23" s="143">
        <f t="shared" si="47"/>
        <v>0</v>
      </c>
      <c r="H23" s="143">
        <f t="shared" si="47"/>
        <v>0</v>
      </c>
      <c r="I23" s="143">
        <f t="shared" si="47"/>
        <v>0</v>
      </c>
      <c r="J23" s="143">
        <f t="shared" si="47"/>
        <v>0</v>
      </c>
      <c r="K23" s="143">
        <f t="shared" si="47"/>
        <v>0</v>
      </c>
      <c r="L23" s="143">
        <f t="shared" si="47"/>
        <v>0</v>
      </c>
      <c r="M23" s="143">
        <f t="shared" si="47"/>
        <v>0</v>
      </c>
      <c r="N23" s="143">
        <f t="shared" si="47"/>
        <v>0</v>
      </c>
      <c r="O23" s="141">
        <f>SUM(C23:N23)</f>
        <v>0</v>
      </c>
    </row>
    <row r="24" spans="1:24" ht="16.5" outlineLevel="1" x14ac:dyDescent="0.25">
      <c r="A24" s="158"/>
      <c r="B24" s="158"/>
      <c r="C24" s="158"/>
      <c r="D24" s="158"/>
      <c r="E24" s="158"/>
      <c r="F24" s="158"/>
      <c r="G24" s="158"/>
      <c r="H24" s="158"/>
      <c r="I24" s="158"/>
    </row>
    <row r="25" spans="1:24" ht="37.5" customHeight="1" outlineLevel="1" x14ac:dyDescent="0.25">
      <c r="A25" s="158"/>
      <c r="B25" s="158"/>
      <c r="C25" s="158"/>
      <c r="D25" s="158"/>
      <c r="E25" s="190" t="s">
        <v>146</v>
      </c>
      <c r="F25" s="191"/>
      <c r="G25" s="191"/>
      <c r="H25" s="158"/>
      <c r="I25" s="158"/>
    </row>
    <row r="26" spans="1:24" ht="16.5" outlineLevel="1" x14ac:dyDescent="0.25">
      <c r="A26" s="158"/>
      <c r="B26" s="158"/>
      <c r="C26" s="158"/>
      <c r="D26" s="158"/>
      <c r="E26" s="158"/>
      <c r="F26" s="158"/>
      <c r="G26" s="158"/>
      <c r="H26" s="158"/>
      <c r="I26" s="158"/>
    </row>
    <row r="27" spans="1:24" ht="26.25" customHeight="1" outlineLevel="1" x14ac:dyDescent="0.25">
      <c r="A27" s="158"/>
      <c r="B27" s="168" t="s">
        <v>147</v>
      </c>
      <c r="C27" s="166"/>
      <c r="D27" s="158"/>
      <c r="E27" s="158"/>
      <c r="F27" s="158"/>
      <c r="G27" s="158"/>
      <c r="H27" s="197" t="s">
        <v>149</v>
      </c>
      <c r="I27" s="197"/>
    </row>
    <row r="28" spans="1:24" ht="22.5" customHeight="1" outlineLevel="1" x14ac:dyDescent="0.25">
      <c r="A28" s="161"/>
      <c r="B28" s="192" t="s">
        <v>154</v>
      </c>
      <c r="C28" s="192"/>
      <c r="D28" s="161"/>
      <c r="E28" s="161"/>
      <c r="F28" s="161"/>
      <c r="G28" s="161"/>
      <c r="H28" s="192"/>
      <c r="I28" s="192"/>
    </row>
    <row r="29" spans="1:24" ht="16.5" x14ac:dyDescent="0.3">
      <c r="A29" s="135"/>
      <c r="B29" s="135"/>
      <c r="C29" s="129"/>
      <c r="D29" s="130"/>
      <c r="E29" s="151"/>
      <c r="F29" s="130"/>
      <c r="G29" s="130"/>
      <c r="H29" s="130"/>
      <c r="I29" s="130"/>
      <c r="J29" s="130"/>
      <c r="K29" s="130"/>
      <c r="L29" s="129"/>
      <c r="M29" s="129"/>
      <c r="N29" s="129"/>
      <c r="O29" s="130"/>
      <c r="P29" s="130"/>
      <c r="Q29" s="130"/>
      <c r="R29" s="130"/>
      <c r="S29" s="130"/>
      <c r="T29" s="130"/>
      <c r="U29" s="130"/>
      <c r="V29" s="130"/>
      <c r="W29" s="130"/>
      <c r="X29" s="130"/>
    </row>
    <row r="30" spans="1:24" ht="18.75" customHeight="1" x14ac:dyDescent="0.3">
      <c r="A30" s="167"/>
      <c r="B30" s="193" t="s">
        <v>150</v>
      </c>
      <c r="C30" s="194"/>
      <c r="D30" s="194"/>
      <c r="E30" s="194"/>
      <c r="F30" s="194"/>
      <c r="G30" s="130"/>
      <c r="H30" s="194"/>
      <c r="I30" s="194"/>
      <c r="J30" s="194"/>
      <c r="K30" s="130"/>
      <c r="L30" s="129"/>
      <c r="M30" s="129"/>
      <c r="N30" s="129"/>
      <c r="O30" s="130"/>
      <c r="P30" s="130"/>
      <c r="Q30" s="130"/>
      <c r="R30" s="130"/>
      <c r="S30" s="130"/>
      <c r="T30" s="130"/>
      <c r="U30" s="130"/>
      <c r="V30" s="130"/>
      <c r="W30" s="130"/>
      <c r="X30" s="130"/>
    </row>
    <row r="31" spans="1:24" ht="8.25" customHeight="1" x14ac:dyDescent="0.3">
      <c r="A31" s="135"/>
      <c r="B31" s="194"/>
      <c r="C31" s="194"/>
      <c r="D31" s="194"/>
      <c r="E31" s="194"/>
      <c r="F31" s="194"/>
      <c r="G31" s="130"/>
      <c r="H31" s="194"/>
      <c r="I31" s="194"/>
      <c r="J31" s="194"/>
      <c r="K31" s="130"/>
      <c r="L31" s="129"/>
      <c r="M31" s="129"/>
      <c r="N31" s="129"/>
      <c r="O31" s="130"/>
      <c r="P31" s="130"/>
      <c r="Q31" s="130"/>
      <c r="R31" s="130"/>
      <c r="S31" s="130"/>
      <c r="T31" s="130"/>
      <c r="U31" s="130"/>
      <c r="V31" s="130"/>
      <c r="W31" s="130"/>
      <c r="X31" s="130"/>
    </row>
    <row r="32" spans="1:24" ht="1.5" customHeight="1" x14ac:dyDescent="0.3">
      <c r="A32" s="152"/>
      <c r="B32" s="194"/>
      <c r="C32" s="194"/>
      <c r="D32" s="194"/>
      <c r="E32" s="194"/>
      <c r="F32" s="194"/>
      <c r="G32" s="129"/>
      <c r="H32" s="194"/>
      <c r="I32" s="194"/>
      <c r="J32" s="194"/>
      <c r="K32" s="129"/>
      <c r="L32" s="130"/>
      <c r="M32" s="130"/>
      <c r="N32" s="130"/>
      <c r="O32" s="130"/>
      <c r="P32" s="130"/>
      <c r="Q32" s="130"/>
      <c r="R32" s="130"/>
      <c r="S32" s="130"/>
      <c r="T32" s="130"/>
      <c r="U32" s="130"/>
    </row>
    <row r="33" spans="1:21" ht="16.5" x14ac:dyDescent="0.3">
      <c r="A33" s="153"/>
      <c r="B33" s="153"/>
      <c r="C33" s="165"/>
      <c r="D33" s="165"/>
      <c r="H33" s="129"/>
      <c r="I33" s="129"/>
      <c r="J33" s="129"/>
      <c r="K33" s="129"/>
      <c r="L33" s="130"/>
      <c r="M33" s="130"/>
      <c r="N33" s="130"/>
      <c r="O33" s="130"/>
      <c r="P33" s="130"/>
      <c r="Q33" s="130"/>
      <c r="R33" s="130"/>
      <c r="S33" s="130"/>
      <c r="T33" s="130"/>
      <c r="U33" s="130"/>
    </row>
    <row r="34" spans="1:21" ht="16.5" customHeight="1" x14ac:dyDescent="0.3">
      <c r="B34" s="186" t="s">
        <v>152</v>
      </c>
      <c r="C34" s="186"/>
      <c r="D34" s="186"/>
      <c r="H34" s="186"/>
      <c r="I34" s="186"/>
      <c r="J34" s="186"/>
      <c r="L34" s="147"/>
      <c r="M34" s="130"/>
      <c r="N34" s="130"/>
      <c r="O34" s="130"/>
      <c r="P34" s="130"/>
      <c r="Q34" s="130"/>
      <c r="R34" s="130"/>
      <c r="S34" s="130"/>
      <c r="T34" s="130"/>
      <c r="U34" s="130"/>
    </row>
    <row r="35" spans="1:21" ht="16.5" customHeight="1" x14ac:dyDescent="0.3">
      <c r="A35" s="135"/>
      <c r="B35" s="170" t="s">
        <v>153</v>
      </c>
      <c r="C35" s="129"/>
      <c r="D35" s="129"/>
      <c r="E35" s="148"/>
      <c r="F35" s="129"/>
      <c r="G35" s="129"/>
      <c r="H35" s="171"/>
      <c r="I35" s="129"/>
      <c r="J35" s="129"/>
      <c r="K35" s="129"/>
      <c r="L35" s="129"/>
      <c r="M35" s="129"/>
      <c r="N35" s="129"/>
      <c r="O35" s="130"/>
      <c r="P35" s="130"/>
      <c r="Q35" s="130"/>
      <c r="R35" s="130"/>
      <c r="S35" s="130"/>
      <c r="T35" s="130"/>
      <c r="U35" s="130"/>
    </row>
    <row r="36" spans="1:21" ht="16.5" x14ac:dyDescent="0.3">
      <c r="A36" s="130"/>
      <c r="B36" s="130"/>
      <c r="C36" s="130"/>
      <c r="D36" s="130"/>
      <c r="E36" s="130"/>
      <c r="F36" s="130"/>
    </row>
    <row r="37" spans="1:21" ht="16.5" x14ac:dyDescent="0.3">
      <c r="A37" s="130"/>
      <c r="B37" s="130"/>
      <c r="C37" s="130"/>
      <c r="D37" s="130"/>
      <c r="E37" s="130"/>
      <c r="F37" s="130"/>
    </row>
    <row r="38" spans="1:21" ht="16.5" customHeight="1" x14ac:dyDescent="0.3">
      <c r="A38" s="130"/>
      <c r="B38" s="130"/>
      <c r="C38" s="130"/>
      <c r="D38" s="130"/>
      <c r="E38" s="130"/>
      <c r="F38" s="130"/>
    </row>
    <row r="39" spans="1:21" ht="16.5" customHeight="1" x14ac:dyDescent="0.3">
      <c r="A39" s="130"/>
      <c r="B39" s="130"/>
      <c r="C39" s="130"/>
      <c r="D39" s="130"/>
      <c r="E39" s="130"/>
      <c r="F39" s="130"/>
    </row>
    <row r="40" spans="1:21" ht="16.5" x14ac:dyDescent="0.3">
      <c r="A40" s="130"/>
      <c r="B40" s="130"/>
      <c r="C40" s="130"/>
      <c r="D40" s="130"/>
      <c r="E40" s="130"/>
      <c r="F40" s="130"/>
      <c r="G40" s="130"/>
      <c r="H40" s="130"/>
      <c r="I40" s="130"/>
    </row>
    <row r="41" spans="1:21" ht="16.5" x14ac:dyDescent="0.3">
      <c r="A41" s="130"/>
      <c r="B41" s="130"/>
      <c r="C41" s="130"/>
      <c r="D41" s="130"/>
      <c r="E41" s="130"/>
      <c r="F41" s="130"/>
      <c r="G41" s="130"/>
      <c r="H41" s="130"/>
      <c r="I41" s="130"/>
    </row>
    <row r="42" spans="1:21" ht="16.5" x14ac:dyDescent="0.3">
      <c r="A42" s="130"/>
      <c r="B42" s="130"/>
      <c r="C42" s="130"/>
      <c r="D42" s="130"/>
      <c r="E42" s="130"/>
      <c r="F42" s="130"/>
      <c r="G42" s="130"/>
      <c r="H42" s="130"/>
      <c r="I42" s="130"/>
    </row>
    <row r="43" spans="1:21" x14ac:dyDescent="0.25">
      <c r="A43" s="147"/>
      <c r="B43" s="147"/>
      <c r="C43" s="147"/>
      <c r="D43" s="147"/>
      <c r="E43" s="147"/>
      <c r="F43" s="147"/>
      <c r="G43" s="147"/>
      <c r="H43" s="147"/>
      <c r="I43" s="147"/>
    </row>
    <row r="44" spans="1:21" x14ac:dyDescent="0.25">
      <c r="A44" s="147"/>
      <c r="B44" s="147"/>
      <c r="C44" s="147"/>
      <c r="D44" s="147"/>
      <c r="E44" s="147"/>
      <c r="F44" s="147"/>
      <c r="G44" s="147"/>
      <c r="H44" s="147"/>
      <c r="I44" s="147"/>
    </row>
    <row r="45" spans="1:21" x14ac:dyDescent="0.25">
      <c r="A45" s="147"/>
      <c r="B45" s="147"/>
      <c r="C45" s="147"/>
      <c r="D45" s="147"/>
      <c r="E45" s="147"/>
      <c r="F45" s="147"/>
      <c r="G45" s="147"/>
      <c r="H45" s="147"/>
      <c r="I45" s="147"/>
    </row>
  </sheetData>
  <mergeCells count="15">
    <mergeCell ref="L4:O4"/>
    <mergeCell ref="A1:O1"/>
    <mergeCell ref="B5:K5"/>
    <mergeCell ref="H27:I27"/>
    <mergeCell ref="M3:O3"/>
    <mergeCell ref="I2:O2"/>
    <mergeCell ref="H34:J34"/>
    <mergeCell ref="B7:B8"/>
    <mergeCell ref="C7:O7"/>
    <mergeCell ref="E25:G25"/>
    <mergeCell ref="B28:C28"/>
    <mergeCell ref="B30:F32"/>
    <mergeCell ref="B34:D34"/>
    <mergeCell ref="H28:I28"/>
    <mergeCell ref="H30:J32"/>
  </mergeCells>
  <pageMargins left="0.31496062992125984" right="0.31496062992125984" top="0.35433070866141736" bottom="0.35433070866141736" header="0.11811023622047245" footer="0.11811023622047245"/>
  <pageSetup paperSize="8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1"/>
  <sheetViews>
    <sheetView topLeftCell="D1" workbookViewId="0">
      <selection activeCell="E23" sqref="E23"/>
    </sheetView>
  </sheetViews>
  <sheetFormatPr defaultRowHeight="15" x14ac:dyDescent="0.25"/>
  <cols>
    <col min="1" max="1" width="18.140625" style="126" bestFit="1" customWidth="1"/>
    <col min="2" max="2" width="25" style="126" bestFit="1" customWidth="1"/>
    <col min="3" max="3" width="22.28515625" style="126" bestFit="1" customWidth="1"/>
    <col min="4" max="4" width="29.42578125" style="126" bestFit="1" customWidth="1"/>
    <col min="5" max="5" width="28.5703125" style="126" bestFit="1" customWidth="1"/>
    <col min="6" max="6" width="70" style="126" bestFit="1" customWidth="1"/>
    <col min="7" max="7" width="43.5703125" bestFit="1" customWidth="1"/>
    <col min="8" max="8" width="20.140625" bestFit="1" customWidth="1"/>
  </cols>
  <sheetData>
    <row r="1" spans="1:9" x14ac:dyDescent="0.25">
      <c r="A1" s="123" t="s">
        <v>75</v>
      </c>
      <c r="B1" s="123" t="s">
        <v>93</v>
      </c>
      <c r="C1" s="123" t="s">
        <v>76</v>
      </c>
      <c r="D1" s="123" t="s">
        <v>97</v>
      </c>
      <c r="E1" s="123" t="s">
        <v>98</v>
      </c>
      <c r="F1" s="123" t="s">
        <v>69</v>
      </c>
      <c r="G1" s="123" t="s">
        <v>70</v>
      </c>
      <c r="H1" s="123" t="s">
        <v>71</v>
      </c>
      <c r="I1" s="123" t="s">
        <v>68</v>
      </c>
    </row>
    <row r="2" spans="1:9" x14ac:dyDescent="0.25">
      <c r="A2" s="124">
        <v>2022</v>
      </c>
      <c r="B2" s="124" t="s">
        <v>94</v>
      </c>
      <c r="C2" s="125" t="s">
        <v>89</v>
      </c>
      <c r="D2" s="125" t="s">
        <v>77</v>
      </c>
      <c r="E2" s="125" t="s">
        <v>77</v>
      </c>
      <c r="F2" s="126" t="s">
        <v>133</v>
      </c>
      <c r="G2" s="125" t="s">
        <v>111</v>
      </c>
      <c r="H2" s="126" t="s">
        <v>118</v>
      </c>
      <c r="I2" s="125" t="s">
        <v>130</v>
      </c>
    </row>
    <row r="3" spans="1:9" x14ac:dyDescent="0.25">
      <c r="A3" s="124">
        <v>2023</v>
      </c>
      <c r="B3" s="124" t="s">
        <v>95</v>
      </c>
      <c r="C3" s="125" t="s">
        <v>90</v>
      </c>
      <c r="D3" s="125" t="s">
        <v>78</v>
      </c>
      <c r="E3" s="125" t="s">
        <v>78</v>
      </c>
      <c r="F3" s="126" t="s">
        <v>100</v>
      </c>
      <c r="G3" s="125" t="s">
        <v>110</v>
      </c>
      <c r="H3" s="126" t="s">
        <v>119</v>
      </c>
      <c r="I3" s="125" t="s">
        <v>131</v>
      </c>
    </row>
    <row r="4" spans="1:9" x14ac:dyDescent="0.25">
      <c r="A4" s="124">
        <v>2024</v>
      </c>
      <c r="B4" s="124" t="s">
        <v>96</v>
      </c>
      <c r="C4" s="125" t="s">
        <v>91</v>
      </c>
      <c r="D4" s="125" t="s">
        <v>79</v>
      </c>
      <c r="E4" s="125" t="s">
        <v>79</v>
      </c>
      <c r="F4" s="126" t="s">
        <v>99</v>
      </c>
      <c r="G4" s="125" t="s">
        <v>112</v>
      </c>
      <c r="H4" s="126" t="s">
        <v>120</v>
      </c>
      <c r="I4" s="125" t="s">
        <v>132</v>
      </c>
    </row>
    <row r="5" spans="1:9" x14ac:dyDescent="0.25">
      <c r="A5" s="124">
        <v>2025</v>
      </c>
      <c r="B5" s="124"/>
      <c r="C5" s="125" t="s">
        <v>92</v>
      </c>
      <c r="D5" s="125" t="s">
        <v>80</v>
      </c>
      <c r="E5" s="125" t="s">
        <v>80</v>
      </c>
      <c r="F5" s="126" t="s">
        <v>101</v>
      </c>
      <c r="G5" s="125" t="s">
        <v>113</v>
      </c>
      <c r="H5" s="126" t="s">
        <v>121</v>
      </c>
    </row>
    <row r="6" spans="1:9" x14ac:dyDescent="0.25">
      <c r="A6" s="125"/>
      <c r="B6" s="125"/>
      <c r="C6" s="124" t="s">
        <v>96</v>
      </c>
      <c r="D6" s="125" t="s">
        <v>81</v>
      </c>
      <c r="E6" s="125" t="s">
        <v>81</v>
      </c>
      <c r="F6" s="126" t="s">
        <v>102</v>
      </c>
      <c r="G6" s="125" t="s">
        <v>114</v>
      </c>
      <c r="H6" s="126" t="s">
        <v>122</v>
      </c>
    </row>
    <row r="7" spans="1:9" x14ac:dyDescent="0.25">
      <c r="A7" s="125"/>
      <c r="B7" s="125"/>
      <c r="C7" s="125"/>
      <c r="D7" s="125" t="s">
        <v>82</v>
      </c>
      <c r="E7" s="125" t="s">
        <v>82</v>
      </c>
      <c r="F7" s="126" t="s">
        <v>103</v>
      </c>
      <c r="G7" s="125" t="s">
        <v>115</v>
      </c>
      <c r="H7" s="126" t="s">
        <v>123</v>
      </c>
    </row>
    <row r="8" spans="1:9" x14ac:dyDescent="0.25">
      <c r="A8" s="125"/>
      <c r="B8" s="125"/>
      <c r="C8" s="125"/>
      <c r="D8" s="125" t="s">
        <v>83</v>
      </c>
      <c r="E8" s="125" t="s">
        <v>83</v>
      </c>
      <c r="F8" s="126" t="s">
        <v>104</v>
      </c>
      <c r="G8" s="125" t="s">
        <v>116</v>
      </c>
      <c r="H8" s="126" t="s">
        <v>124</v>
      </c>
    </row>
    <row r="9" spans="1:9" x14ac:dyDescent="0.25">
      <c r="A9" s="125"/>
      <c r="B9" s="125"/>
      <c r="C9" s="125"/>
      <c r="D9" s="125" t="s">
        <v>84</v>
      </c>
      <c r="E9" s="125" t="s">
        <v>84</v>
      </c>
      <c r="F9" s="126" t="s">
        <v>105</v>
      </c>
      <c r="G9" s="125" t="s">
        <v>117</v>
      </c>
      <c r="H9" s="126" t="s">
        <v>125</v>
      </c>
    </row>
    <row r="10" spans="1:9" x14ac:dyDescent="0.25">
      <c r="A10" s="125"/>
      <c r="B10" s="125"/>
      <c r="C10" s="125"/>
      <c r="D10" s="125" t="s">
        <v>85</v>
      </c>
      <c r="E10" s="125" t="s">
        <v>85</v>
      </c>
      <c r="F10" s="126" t="s">
        <v>106</v>
      </c>
      <c r="H10" s="126" t="s">
        <v>126</v>
      </c>
    </row>
    <row r="11" spans="1:9" x14ac:dyDescent="0.25">
      <c r="A11" s="125"/>
      <c r="B11" s="125"/>
      <c r="C11" s="125"/>
      <c r="D11" s="125" t="s">
        <v>86</v>
      </c>
      <c r="E11" s="125" t="s">
        <v>86</v>
      </c>
      <c r="F11" s="126" t="s">
        <v>107</v>
      </c>
      <c r="H11" s="126" t="s">
        <v>127</v>
      </c>
    </row>
    <row r="12" spans="1:9" x14ac:dyDescent="0.25">
      <c r="A12" s="125"/>
      <c r="B12" s="125"/>
      <c r="C12" s="125"/>
      <c r="D12" s="125" t="s">
        <v>87</v>
      </c>
      <c r="E12" s="125" t="s">
        <v>87</v>
      </c>
      <c r="F12" s="126" t="s">
        <v>108</v>
      </c>
      <c r="H12" s="126" t="s">
        <v>128</v>
      </c>
    </row>
    <row r="13" spans="1:9" x14ac:dyDescent="0.25">
      <c r="D13" s="125" t="s">
        <v>88</v>
      </c>
      <c r="E13" s="125" t="s">
        <v>88</v>
      </c>
      <c r="F13" s="126" t="s">
        <v>109</v>
      </c>
    </row>
    <row r="14" spans="1:9" x14ac:dyDescent="0.25">
      <c r="F14" s="126" t="s">
        <v>72</v>
      </c>
    </row>
    <row r="15" spans="1:9" x14ac:dyDescent="0.25">
      <c r="F15" s="126" t="s">
        <v>73</v>
      </c>
    </row>
    <row r="16" spans="1:9" x14ac:dyDescent="0.25">
      <c r="F16" s="126" t="s">
        <v>74</v>
      </c>
    </row>
    <row r="18" spans="1:6" x14ac:dyDescent="0.25">
      <c r="A18" s="125"/>
      <c r="B18" s="125"/>
      <c r="C18" s="125"/>
      <c r="D18" s="125"/>
      <c r="E18" s="125"/>
    </row>
    <row r="19" spans="1:6" x14ac:dyDescent="0.25">
      <c r="A19" s="125"/>
      <c r="B19" s="125"/>
      <c r="C19" s="125"/>
      <c r="D19" s="125"/>
      <c r="E19" s="125"/>
    </row>
    <row r="20" spans="1:6" x14ac:dyDescent="0.25">
      <c r="A20" s="125"/>
      <c r="B20" s="125"/>
      <c r="C20" s="125"/>
      <c r="D20" s="125"/>
      <c r="E20" s="125"/>
    </row>
    <row r="21" spans="1:6" x14ac:dyDescent="0.25">
      <c r="A21" s="125"/>
      <c r="B21" s="125"/>
      <c r="C21" s="125"/>
      <c r="D21" s="125"/>
      <c r="E21" s="125"/>
    </row>
    <row r="22" spans="1:6" x14ac:dyDescent="0.25">
      <c r="A22" s="125"/>
      <c r="B22" s="125"/>
      <c r="C22" s="125"/>
      <c r="D22" s="149"/>
      <c r="E22"/>
      <c r="F22"/>
    </row>
    <row r="23" spans="1:6" x14ac:dyDescent="0.25">
      <c r="A23" s="125"/>
      <c r="B23" s="125"/>
      <c r="C23" s="125"/>
      <c r="D23" s="125"/>
      <c r="E23" s="125"/>
    </row>
    <row r="29" spans="1:6" x14ac:dyDescent="0.25">
      <c r="A29" s="125"/>
      <c r="B29" s="125"/>
      <c r="C29" s="125"/>
      <c r="D29" s="125"/>
      <c r="E29" s="125"/>
    </row>
    <row r="30" spans="1:6" x14ac:dyDescent="0.25">
      <c r="A30" s="125"/>
      <c r="B30" s="125"/>
      <c r="C30" s="125"/>
      <c r="D30" s="125"/>
      <c r="E30" s="125"/>
    </row>
    <row r="31" spans="1:6" x14ac:dyDescent="0.25">
      <c r="A31" s="125"/>
      <c r="B31" s="125"/>
      <c r="C31" s="125"/>
      <c r="D31" s="125"/>
      <c r="E31" s="12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AI53"/>
  <sheetViews>
    <sheetView zoomScale="90" zoomScaleNormal="90" workbookViewId="0">
      <selection activeCell="S12" sqref="S12"/>
    </sheetView>
  </sheetViews>
  <sheetFormatPr defaultRowHeight="15" x14ac:dyDescent="0.25"/>
  <cols>
    <col min="1" max="1" width="44.7109375" bestFit="1" customWidth="1"/>
    <col min="2" max="2" width="6.5703125" hidden="1" customWidth="1"/>
    <col min="3" max="3" width="12.85546875" hidden="1" customWidth="1"/>
    <col min="4" max="4" width="14.42578125" hidden="1" customWidth="1"/>
    <col min="5" max="5" width="10.42578125" hidden="1" customWidth="1"/>
    <col min="6" max="7" width="11.5703125" hidden="1" customWidth="1"/>
    <col min="8" max="8" width="15.85546875" hidden="1" customWidth="1"/>
    <col min="9" max="10" width="11.5703125" hidden="1" customWidth="1"/>
    <col min="11" max="11" width="12.85546875" hidden="1" customWidth="1"/>
    <col min="12" max="15" width="11.5703125" hidden="1" customWidth="1"/>
    <col min="16" max="17" width="13.85546875" hidden="1" customWidth="1"/>
    <col min="18" max="18" width="18" bestFit="1" customWidth="1"/>
    <col min="19" max="19" width="15.85546875" customWidth="1"/>
    <col min="20" max="21" width="15.42578125" customWidth="1"/>
    <col min="22" max="22" width="15.28515625" customWidth="1"/>
    <col min="23" max="23" width="16.42578125" customWidth="1"/>
    <col min="24" max="24" width="14.28515625" customWidth="1"/>
    <col min="25" max="25" width="15.28515625" customWidth="1"/>
    <col min="26" max="28" width="14.28515625" customWidth="1"/>
    <col min="29" max="30" width="16.140625" customWidth="1"/>
    <col min="31" max="31" width="16.85546875" customWidth="1"/>
    <col min="32" max="32" width="16.140625" customWidth="1"/>
    <col min="33" max="33" width="19.42578125" hidden="1" customWidth="1"/>
    <col min="34" max="34" width="17.28515625" hidden="1" customWidth="1"/>
    <col min="35" max="35" width="17.140625" customWidth="1"/>
  </cols>
  <sheetData>
    <row r="1" spans="1:35" ht="27.95" customHeight="1" x14ac:dyDescent="0.25">
      <c r="A1" s="172" t="s">
        <v>63</v>
      </c>
      <c r="B1" s="172"/>
      <c r="C1" s="172"/>
      <c r="D1" s="17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35" ht="30.75" customHeight="1" x14ac:dyDescent="0.25">
      <c r="A2" s="98" t="s">
        <v>48</v>
      </c>
      <c r="B2" s="2"/>
      <c r="C2" s="2"/>
      <c r="D2" s="98" t="s">
        <v>28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 t="s">
        <v>1</v>
      </c>
    </row>
    <row r="3" spans="1:35" x14ac:dyDescent="0.25">
      <c r="A3" s="173" t="s">
        <v>2</v>
      </c>
      <c r="B3" s="173" t="s">
        <v>3</v>
      </c>
      <c r="C3" s="173"/>
      <c r="D3" s="173"/>
      <c r="E3" s="174">
        <v>2021</v>
      </c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6"/>
      <c r="R3" s="198" t="s">
        <v>44</v>
      </c>
      <c r="S3" s="174">
        <v>2022</v>
      </c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6"/>
      <c r="AF3" s="198" t="s">
        <v>56</v>
      </c>
    </row>
    <row r="4" spans="1:35" ht="30.75" customHeight="1" x14ac:dyDescent="0.25">
      <c r="A4" s="173"/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4</v>
      </c>
      <c r="P4" s="5" t="s">
        <v>5</v>
      </c>
      <c r="Q4" s="5" t="s">
        <v>6</v>
      </c>
      <c r="R4" s="199"/>
      <c r="S4" s="5" t="s">
        <v>64</v>
      </c>
      <c r="T4" s="5" t="s">
        <v>65</v>
      </c>
      <c r="U4" s="5" t="s">
        <v>66</v>
      </c>
      <c r="V4" s="5" t="s">
        <v>10</v>
      </c>
      <c r="W4" s="5" t="s">
        <v>11</v>
      </c>
      <c r="X4" s="5" t="s">
        <v>12</v>
      </c>
      <c r="Y4" s="5" t="s">
        <v>13</v>
      </c>
      <c r="Z4" s="5" t="s">
        <v>14</v>
      </c>
      <c r="AA4" s="5" t="s">
        <v>15</v>
      </c>
      <c r="AB4" s="5" t="s">
        <v>16</v>
      </c>
      <c r="AC4" s="5" t="s">
        <v>4</v>
      </c>
      <c r="AD4" s="5" t="s">
        <v>5</v>
      </c>
      <c r="AE4" s="5" t="s">
        <v>6</v>
      </c>
      <c r="AF4" s="199"/>
    </row>
    <row r="5" spans="1:35" ht="51" x14ac:dyDescent="0.25">
      <c r="A5" s="6" t="s">
        <v>17</v>
      </c>
      <c r="B5" s="7">
        <f>B6</f>
        <v>0</v>
      </c>
      <c r="C5" s="7">
        <f t="shared" ref="C5:P5" si="0">C6</f>
        <v>1610679611.2</v>
      </c>
      <c r="D5" s="7">
        <f t="shared" si="0"/>
        <v>1610679611.2</v>
      </c>
      <c r="E5" s="7">
        <f t="shared" si="0"/>
        <v>0</v>
      </c>
      <c r="F5" s="7">
        <f t="shared" si="0"/>
        <v>0</v>
      </c>
      <c r="G5" s="7">
        <f t="shared" si="0"/>
        <v>31776724.59</v>
      </c>
      <c r="H5" s="7">
        <f t="shared" si="0"/>
        <v>1495932742.21</v>
      </c>
      <c r="I5" s="7">
        <f t="shared" si="0"/>
        <v>0</v>
      </c>
      <c r="J5" s="7">
        <f t="shared" si="0"/>
        <v>0</v>
      </c>
      <c r="K5" s="7">
        <f t="shared" si="0"/>
        <v>2437125000</v>
      </c>
      <c r="L5" s="7">
        <f t="shared" si="0"/>
        <v>0</v>
      </c>
      <c r="M5" s="7">
        <f t="shared" si="0"/>
        <v>0</v>
      </c>
      <c r="N5" s="7">
        <f t="shared" si="0"/>
        <v>820971300</v>
      </c>
      <c r="O5" s="7">
        <f t="shared" si="0"/>
        <v>0</v>
      </c>
      <c r="P5" s="7">
        <f t="shared" si="0"/>
        <v>10000000000</v>
      </c>
      <c r="Q5" s="7">
        <f>Q6</f>
        <v>14785805766.799999</v>
      </c>
      <c r="R5" s="7">
        <f t="shared" ref="R5:R13" si="1">Q5+D5</f>
        <v>16396485378</v>
      </c>
      <c r="S5" s="7">
        <f t="shared" ref="S5:AD5" si="2">S6</f>
        <v>322826374.25045729</v>
      </c>
      <c r="T5" s="7">
        <f t="shared" si="2"/>
        <v>112283300.49363822</v>
      </c>
      <c r="U5" s="7">
        <f t="shared" si="2"/>
        <v>8695693185.0604725</v>
      </c>
      <c r="V5" s="7">
        <f t="shared" si="2"/>
        <v>268890081.60294151</v>
      </c>
      <c r="W5" s="7">
        <f t="shared" si="2"/>
        <v>342193308.75888729</v>
      </c>
      <c r="X5" s="7">
        <f t="shared" si="2"/>
        <v>399080597.94057274</v>
      </c>
      <c r="Y5" s="7">
        <f t="shared" si="2"/>
        <v>476467969.97282457</v>
      </c>
      <c r="Z5" s="7">
        <f t="shared" si="2"/>
        <v>494365823.30275393</v>
      </c>
      <c r="AA5" s="7">
        <f t="shared" si="2"/>
        <v>447369058.65072203</v>
      </c>
      <c r="AB5" s="7">
        <f t="shared" si="2"/>
        <v>447372989.16672945</v>
      </c>
      <c r="AC5" s="7">
        <f t="shared" si="2"/>
        <v>0</v>
      </c>
      <c r="AD5" s="7">
        <f t="shared" si="2"/>
        <v>0</v>
      </c>
      <c r="AE5" s="7">
        <f>AE6</f>
        <v>12006542689.200001</v>
      </c>
      <c r="AF5" s="7">
        <f>AE5+R5</f>
        <v>28403028067.200001</v>
      </c>
      <c r="AI5" s="100"/>
    </row>
    <row r="6" spans="1:35" ht="38.25" x14ac:dyDescent="0.25">
      <c r="A6" s="8" t="s">
        <v>18</v>
      </c>
      <c r="B6" s="9">
        <f>B7+B10</f>
        <v>0</v>
      </c>
      <c r="C6" s="9">
        <f t="shared" ref="C6" si="3">C7+C10</f>
        <v>1610679611.2</v>
      </c>
      <c r="D6" s="10">
        <f>D7+D10</f>
        <v>1610679611.2</v>
      </c>
      <c r="E6" s="9">
        <f t="shared" ref="E6:P6" si="4">E7+E10</f>
        <v>0</v>
      </c>
      <c r="F6" s="9">
        <f t="shared" si="4"/>
        <v>0</v>
      </c>
      <c r="G6" s="9">
        <f t="shared" si="4"/>
        <v>31776724.59</v>
      </c>
      <c r="H6" s="9">
        <f t="shared" si="4"/>
        <v>1495932742.21</v>
      </c>
      <c r="I6" s="9">
        <f t="shared" si="4"/>
        <v>0</v>
      </c>
      <c r="J6" s="9">
        <f t="shared" si="4"/>
        <v>0</v>
      </c>
      <c r="K6" s="9">
        <f t="shared" si="4"/>
        <v>2437125000</v>
      </c>
      <c r="L6" s="9">
        <f t="shared" si="4"/>
        <v>0</v>
      </c>
      <c r="M6" s="9">
        <f t="shared" si="4"/>
        <v>0</v>
      </c>
      <c r="N6" s="9">
        <f t="shared" si="4"/>
        <v>820971300</v>
      </c>
      <c r="O6" s="9">
        <f t="shared" si="4"/>
        <v>0</v>
      </c>
      <c r="P6" s="9">
        <f t="shared" si="4"/>
        <v>10000000000</v>
      </c>
      <c r="Q6" s="10">
        <f>Q7+Q10</f>
        <v>14785805766.799999</v>
      </c>
      <c r="R6" s="10">
        <f t="shared" si="1"/>
        <v>16396485378</v>
      </c>
      <c r="S6" s="9">
        <f t="shared" ref="S6:AD6" si="5">S7+S10</f>
        <v>322826374.25045729</v>
      </c>
      <c r="T6" s="9">
        <f t="shared" si="5"/>
        <v>112283300.49363822</v>
      </c>
      <c r="U6" s="9">
        <f t="shared" si="5"/>
        <v>8695693185.0604725</v>
      </c>
      <c r="V6" s="9">
        <f t="shared" si="5"/>
        <v>268890081.60294151</v>
      </c>
      <c r="W6" s="9">
        <f t="shared" si="5"/>
        <v>342193308.75888729</v>
      </c>
      <c r="X6" s="9">
        <f t="shared" si="5"/>
        <v>399080597.94057274</v>
      </c>
      <c r="Y6" s="9">
        <f t="shared" si="5"/>
        <v>476467969.97282457</v>
      </c>
      <c r="Z6" s="9">
        <f t="shared" si="5"/>
        <v>494365823.30275393</v>
      </c>
      <c r="AA6" s="9">
        <f t="shared" si="5"/>
        <v>447369058.65072203</v>
      </c>
      <c r="AB6" s="9">
        <f t="shared" si="5"/>
        <v>447372989.16672945</v>
      </c>
      <c r="AC6" s="9">
        <f t="shared" si="5"/>
        <v>0</v>
      </c>
      <c r="AD6" s="9">
        <f t="shared" si="5"/>
        <v>0</v>
      </c>
      <c r="AE6" s="10">
        <f>AE7+AE10</f>
        <v>12006542689.200001</v>
      </c>
      <c r="AF6" s="10">
        <f t="shared" ref="AF6:AF13" si="6">AE6+R6</f>
        <v>28403028067.200001</v>
      </c>
    </row>
    <row r="7" spans="1:35" x14ac:dyDescent="0.25">
      <c r="A7" s="11" t="s">
        <v>19</v>
      </c>
      <c r="B7" s="12">
        <f>B8+B9</f>
        <v>0</v>
      </c>
      <c r="C7" s="12">
        <f t="shared" ref="C7" si="7">C8+C9</f>
        <v>110679611.2</v>
      </c>
      <c r="D7" s="12">
        <f>D8+D9</f>
        <v>110679611.2</v>
      </c>
      <c r="E7" s="12">
        <f t="shared" ref="E7:F7" si="8">E8+E9</f>
        <v>0</v>
      </c>
      <c r="F7" s="12">
        <f t="shared" si="8"/>
        <v>0</v>
      </c>
      <c r="G7" s="12">
        <f>G8+G9</f>
        <v>31776724.59</v>
      </c>
      <c r="H7" s="12">
        <f>H8+H9</f>
        <v>70932742.210000008</v>
      </c>
      <c r="I7" s="12">
        <f t="shared" ref="I7:P7" si="9">I8+I9</f>
        <v>0</v>
      </c>
      <c r="J7" s="12">
        <f t="shared" si="9"/>
        <v>0</v>
      </c>
      <c r="K7" s="12">
        <f t="shared" si="9"/>
        <v>0</v>
      </c>
      <c r="L7" s="12">
        <f t="shared" si="9"/>
        <v>0</v>
      </c>
      <c r="M7" s="12">
        <f t="shared" si="9"/>
        <v>0</v>
      </c>
      <c r="N7" s="12">
        <f t="shared" si="9"/>
        <v>0</v>
      </c>
      <c r="O7" s="12">
        <f t="shared" si="9"/>
        <v>0</v>
      </c>
      <c r="P7" s="12">
        <f t="shared" si="9"/>
        <v>0</v>
      </c>
      <c r="Q7" s="13">
        <f>Q8+Q9</f>
        <v>102709466.80000001</v>
      </c>
      <c r="R7" s="13">
        <f t="shared" si="1"/>
        <v>213389078</v>
      </c>
      <c r="S7" s="12">
        <f t="shared" ref="S7:T7" si="10">S8+S9</f>
        <v>91452462</v>
      </c>
      <c r="T7" s="12">
        <f t="shared" si="10"/>
        <v>0</v>
      </c>
      <c r="U7" s="12">
        <f>U8+U9</f>
        <v>0</v>
      </c>
      <c r="V7" s="12">
        <f>V8+V9</f>
        <v>0</v>
      </c>
      <c r="W7" s="12">
        <f t="shared" ref="W7:AD7" si="11">W8+W9</f>
        <v>0</v>
      </c>
      <c r="X7" s="12">
        <f t="shared" si="11"/>
        <v>0</v>
      </c>
      <c r="Y7" s="12">
        <f t="shared" si="11"/>
        <v>0</v>
      </c>
      <c r="Z7" s="12">
        <f t="shared" si="11"/>
        <v>0</v>
      </c>
      <c r="AA7" s="12">
        <f t="shared" si="11"/>
        <v>0</v>
      </c>
      <c r="AB7" s="12">
        <f t="shared" si="11"/>
        <v>0</v>
      </c>
      <c r="AC7" s="12">
        <f t="shared" si="11"/>
        <v>0</v>
      </c>
      <c r="AD7" s="12">
        <f t="shared" si="11"/>
        <v>0</v>
      </c>
      <c r="AE7" s="13">
        <f>AE8+AE9</f>
        <v>91452462</v>
      </c>
      <c r="AF7" s="13">
        <f t="shared" si="6"/>
        <v>304841540</v>
      </c>
    </row>
    <row r="8" spans="1:35" x14ac:dyDescent="0.25">
      <c r="A8" s="14" t="s">
        <v>20</v>
      </c>
      <c r="B8" s="9"/>
      <c r="C8" s="9">
        <f>91452462</f>
        <v>91452462</v>
      </c>
      <c r="D8" s="9">
        <f>B8+C8</f>
        <v>91452462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5">
        <f>E8+F8+G8+H8+I8+J8+K8+L8+M8+N8+O8+P8</f>
        <v>0</v>
      </c>
      <c r="R8" s="15">
        <f t="shared" si="1"/>
        <v>91452462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15">
        <f>S8+T8+U8+V8+W8+X8+Y8+Z8+AA8+AB8+AC8+AD8</f>
        <v>0</v>
      </c>
      <c r="AF8" s="15">
        <f t="shared" si="6"/>
        <v>91452462</v>
      </c>
    </row>
    <row r="9" spans="1:35" x14ac:dyDescent="0.25">
      <c r="A9" s="14" t="s">
        <v>21</v>
      </c>
      <c r="B9" s="9"/>
      <c r="C9" s="9">
        <v>19227149.199999999</v>
      </c>
      <c r="D9" s="9">
        <f>B9+C9</f>
        <v>19227149.199999999</v>
      </c>
      <c r="E9" s="9"/>
      <c r="F9" s="9"/>
      <c r="G9" s="9">
        <v>31776724.59</v>
      </c>
      <c r="H9" s="9">
        <f>1254675.92+69678066.29</f>
        <v>70932742.210000008</v>
      </c>
      <c r="I9" s="9"/>
      <c r="J9" s="9">
        <v>0</v>
      </c>
      <c r="K9" s="9"/>
      <c r="L9" s="9"/>
      <c r="M9" s="9"/>
      <c r="N9" s="9"/>
      <c r="O9" s="9"/>
      <c r="P9" s="9">
        <v>0</v>
      </c>
      <c r="Q9" s="15">
        <f>E9+F9+G9+H9+I9+J9+K9+L9+M9+N9+O9+P9</f>
        <v>102709466.80000001</v>
      </c>
      <c r="R9" s="15">
        <f t="shared" si="1"/>
        <v>121936616.00000001</v>
      </c>
      <c r="S9" s="9">
        <v>91452462</v>
      </c>
      <c r="T9" s="9"/>
      <c r="U9" s="9"/>
      <c r="V9" s="9"/>
      <c r="W9" s="9"/>
      <c r="X9" s="9">
        <v>0</v>
      </c>
      <c r="Y9" s="9"/>
      <c r="Z9" s="9"/>
      <c r="AA9" s="9"/>
      <c r="AB9" s="9"/>
      <c r="AC9" s="9"/>
      <c r="AD9" s="9">
        <v>0</v>
      </c>
      <c r="AE9" s="15">
        <f>S9+T9+U9+V9+W9+X9+Y9+Z9+AA9+AB9+AC9+AD9</f>
        <v>91452462</v>
      </c>
      <c r="AF9" s="15">
        <f t="shared" si="6"/>
        <v>213389078</v>
      </c>
    </row>
    <row r="10" spans="1:35" x14ac:dyDescent="0.25">
      <c r="A10" s="11" t="s">
        <v>22</v>
      </c>
      <c r="B10" s="12">
        <f>B12+B11</f>
        <v>0</v>
      </c>
      <c r="C10" s="12">
        <f>C12+C11</f>
        <v>1500000000</v>
      </c>
      <c r="D10" s="12">
        <f>D12+D11</f>
        <v>1500000000</v>
      </c>
      <c r="E10" s="12">
        <f t="shared" ref="E10:K10" si="12">E12+E11</f>
        <v>0</v>
      </c>
      <c r="F10" s="12">
        <f t="shared" si="12"/>
        <v>0</v>
      </c>
      <c r="G10" s="12">
        <f t="shared" si="12"/>
        <v>0</v>
      </c>
      <c r="H10" s="12">
        <f t="shared" si="12"/>
        <v>1425000000</v>
      </c>
      <c r="I10" s="12">
        <f t="shared" si="12"/>
        <v>0</v>
      </c>
      <c r="J10" s="12">
        <f t="shared" si="12"/>
        <v>0</v>
      </c>
      <c r="K10" s="12">
        <f t="shared" si="12"/>
        <v>2437125000</v>
      </c>
      <c r="L10" s="12">
        <f>L11+L12</f>
        <v>0</v>
      </c>
      <c r="M10" s="12">
        <f t="shared" ref="M10:P10" si="13">M12+M11</f>
        <v>0</v>
      </c>
      <c r="N10" s="12">
        <f>N12+N11</f>
        <v>820971300</v>
      </c>
      <c r="O10" s="12">
        <f t="shared" si="13"/>
        <v>0</v>
      </c>
      <c r="P10" s="12">
        <f t="shared" si="13"/>
        <v>10000000000</v>
      </c>
      <c r="Q10" s="13">
        <f>Q11+Q12</f>
        <v>14683096300</v>
      </c>
      <c r="R10" s="13">
        <f t="shared" si="1"/>
        <v>16183096300</v>
      </c>
      <c r="S10" s="12">
        <f t="shared" ref="S10:Y10" si="14">S12+S11</f>
        <v>231373912.25045729</v>
      </c>
      <c r="T10" s="12">
        <f t="shared" si="14"/>
        <v>112283300.49363822</v>
      </c>
      <c r="U10" s="12">
        <f t="shared" si="14"/>
        <v>8695693185.0604725</v>
      </c>
      <c r="V10" s="12">
        <f t="shared" si="14"/>
        <v>268890081.60294151</v>
      </c>
      <c r="W10" s="12">
        <f t="shared" si="14"/>
        <v>342193308.75888729</v>
      </c>
      <c r="X10" s="12">
        <f t="shared" si="14"/>
        <v>399080597.94057274</v>
      </c>
      <c r="Y10" s="12">
        <f t="shared" si="14"/>
        <v>476467969.97282457</v>
      </c>
      <c r="Z10" s="12">
        <f>Z11+Z12</f>
        <v>494365823.30275393</v>
      </c>
      <c r="AA10" s="12">
        <f t="shared" ref="AA10" si="15">AA12+AA11</f>
        <v>447369058.65072203</v>
      </c>
      <c r="AB10" s="12">
        <f>AB12+AB11</f>
        <v>447372989.16672945</v>
      </c>
      <c r="AC10" s="12">
        <f t="shared" ref="AC10:AD10" si="16">AC12+AC11</f>
        <v>0</v>
      </c>
      <c r="AD10" s="12">
        <f t="shared" si="16"/>
        <v>0</v>
      </c>
      <c r="AE10" s="13">
        <f>AE11+AE12</f>
        <v>11915090227.200001</v>
      </c>
      <c r="AF10" s="13">
        <f t="shared" si="6"/>
        <v>28098186527.200001</v>
      </c>
      <c r="AI10" s="100"/>
    </row>
    <row r="11" spans="1:35" x14ac:dyDescent="0.25">
      <c r="A11" s="14" t="s">
        <v>20</v>
      </c>
      <c r="B11" s="9"/>
      <c r="C11" s="9">
        <v>1500000000</v>
      </c>
      <c r="D11" s="9">
        <f>B11+C11</f>
        <v>1500000000</v>
      </c>
      <c r="E11" s="9"/>
      <c r="F11" s="9"/>
      <c r="G11" s="9"/>
      <c r="H11" s="9">
        <v>1425000000</v>
      </c>
      <c r="I11" s="9"/>
      <c r="J11" s="9"/>
      <c r="K11" s="9">
        <v>2437125000</v>
      </c>
      <c r="L11" s="9"/>
      <c r="M11" s="9"/>
      <c r="N11" s="9">
        <f>96862500+635057582.54+89051217.46</f>
        <v>820971300</v>
      </c>
      <c r="O11" s="9"/>
      <c r="P11" s="9">
        <v>5000000000</v>
      </c>
      <c r="Q11" s="15">
        <f>E11+F11+G11+H11+I11+J11+K11+L11+M11+N11+O11+P11</f>
        <v>9683096300</v>
      </c>
      <c r="R11" s="15">
        <f t="shared" si="1"/>
        <v>11183096300</v>
      </c>
      <c r="S11" s="9"/>
      <c r="T11" s="9"/>
      <c r="U11" s="9">
        <v>8485634269</v>
      </c>
      <c r="V11" s="9">
        <f>(V18*70%-R11-U11)</f>
        <v>4.000091552734375E-2</v>
      </c>
      <c r="W11" s="9"/>
      <c r="X11" s="9"/>
      <c r="Y11" s="9"/>
      <c r="Z11" s="9"/>
      <c r="AA11" s="9"/>
      <c r="AB11" s="9"/>
      <c r="AC11" s="9"/>
      <c r="AD11" s="9"/>
      <c r="AE11" s="15">
        <f>S11+T11+U11+V11+W11+X11+Y11+Z11+AA11+AB11+AC11+AD11</f>
        <v>8485634269.0400009</v>
      </c>
      <c r="AF11" s="15">
        <f>AE11+R11</f>
        <v>19668730569.040001</v>
      </c>
      <c r="AG11" s="102"/>
      <c r="AH11" s="102"/>
    </row>
    <row r="12" spans="1:35" x14ac:dyDescent="0.25">
      <c r="A12" s="14" t="s">
        <v>53</v>
      </c>
      <c r="B12" s="9"/>
      <c r="C12" s="9"/>
      <c r="D12" s="9">
        <f>B12+C12</f>
        <v>0</v>
      </c>
      <c r="E12" s="9"/>
      <c r="F12" s="9"/>
      <c r="G12" s="9"/>
      <c r="H12" s="9"/>
      <c r="I12" s="9"/>
      <c r="J12" s="9"/>
      <c r="K12" s="9"/>
      <c r="L12" s="9"/>
      <c r="M12" s="9">
        <v>0</v>
      </c>
      <c r="N12" s="9"/>
      <c r="O12" s="9"/>
      <c r="P12" s="9">
        <v>5000000000</v>
      </c>
      <c r="Q12" s="15">
        <f>E12+F12+G12+H12+I12+J12+K12+L12+M12+N12+O12+P12</f>
        <v>5000000000</v>
      </c>
      <c r="R12" s="15">
        <f t="shared" si="1"/>
        <v>5000000000</v>
      </c>
      <c r="S12" s="9">
        <f>62948961.51+S15-S16</f>
        <v>231373912.25045729</v>
      </c>
      <c r="T12" s="9">
        <f>T15-T16</f>
        <v>112283300.49363822</v>
      </c>
      <c r="U12" s="9">
        <f>U15-U16</f>
        <v>210058916.0604732</v>
      </c>
      <c r="V12" s="9">
        <f>V15-V16</f>
        <v>268890081.5629406</v>
      </c>
      <c r="W12" s="9">
        <f t="shared" ref="W12:AB12" si="17">W15-W16</f>
        <v>342193308.75888729</v>
      </c>
      <c r="X12" s="9">
        <f t="shared" si="17"/>
        <v>399080597.94057274</v>
      </c>
      <c r="Y12" s="9">
        <f t="shared" si="17"/>
        <v>476467969.97282457</v>
      </c>
      <c r="Z12" s="9">
        <f t="shared" si="17"/>
        <v>494365823.30275393</v>
      </c>
      <c r="AA12" s="9">
        <f t="shared" si="17"/>
        <v>447369058.65072203</v>
      </c>
      <c r="AB12" s="9">
        <f t="shared" si="17"/>
        <v>447372989.16672945</v>
      </c>
      <c r="AC12" s="9"/>
      <c r="AD12" s="9"/>
      <c r="AE12" s="15">
        <f>S12+T12+U12+V12+W12+X12+Y12+Z12+AA12+AB12+AC12+AD12</f>
        <v>3429455958.1599994</v>
      </c>
      <c r="AF12" s="15">
        <f t="shared" si="6"/>
        <v>8429455958.1599998</v>
      </c>
    </row>
    <row r="13" spans="1:35" x14ac:dyDescent="0.25">
      <c r="A13" s="16" t="s">
        <v>49</v>
      </c>
      <c r="B13" s="17"/>
      <c r="C13" s="17"/>
      <c r="D13" s="17">
        <v>377000000</v>
      </c>
      <c r="E13" s="17">
        <f>221576000*1.2</f>
        <v>265891200</v>
      </c>
      <c r="F13" s="17">
        <f>374928000*1.2</f>
        <v>449913600</v>
      </c>
      <c r="G13" s="17">
        <f>400025000*1.2-48000000</f>
        <v>432030000</v>
      </c>
      <c r="H13" s="17">
        <v>540000000</v>
      </c>
      <c r="I13" s="17">
        <v>564000000</v>
      </c>
      <c r="J13" s="17">
        <v>749000000</v>
      </c>
      <c r="K13" s="17">
        <f>814000000+91452462</f>
        <v>905452462</v>
      </c>
      <c r="L13" s="17">
        <v>939000000</v>
      </c>
      <c r="M13" s="17">
        <f>1242000000+15712738</f>
        <v>1257712738</v>
      </c>
      <c r="N13" s="17">
        <v>1164000000</v>
      </c>
      <c r="O13" s="17">
        <v>798000000</v>
      </c>
      <c r="P13" s="17">
        <v>518000000</v>
      </c>
      <c r="Q13" s="17">
        <f>E13+F13+G13+H13+I13+J13+K13+L13+M13+N13+O13+P13</f>
        <v>8583000000</v>
      </c>
      <c r="R13" s="17">
        <f t="shared" si="1"/>
        <v>8960000000</v>
      </c>
      <c r="S13" s="17">
        <v>172000000</v>
      </c>
      <c r="T13" s="17">
        <v>265000000</v>
      </c>
      <c r="U13" s="17">
        <v>654000000</v>
      </c>
      <c r="V13" s="17">
        <v>1657000000</v>
      </c>
      <c r="W13" s="17">
        <v>2967000000</v>
      </c>
      <c r="X13" s="17">
        <v>3256000000</v>
      </c>
      <c r="Y13" s="17">
        <v>3955000000</v>
      </c>
      <c r="Z13" s="17">
        <v>3658000000</v>
      </c>
      <c r="AA13" s="17">
        <f>2859000000+18060+6439+2296+818.6+300+100+50+3+0.5+0.1</f>
        <v>2859028067.1999998</v>
      </c>
      <c r="AB13" s="115"/>
      <c r="AC13" s="115"/>
      <c r="AD13" s="115"/>
      <c r="AE13" s="115">
        <f>S13+T13+U13+V13+W13+X13+Y13+Z13+AA13+AB13+AC13+AD13</f>
        <v>19443028067.200001</v>
      </c>
      <c r="AF13" s="115">
        <f t="shared" si="6"/>
        <v>28403028067.200001</v>
      </c>
      <c r="AG13" s="101"/>
    </row>
    <row r="14" spans="1:35" x14ac:dyDescent="0.25">
      <c r="A14" s="16" t="s">
        <v>25</v>
      </c>
      <c r="B14" s="17"/>
      <c r="C14" s="17"/>
      <c r="D14" s="17">
        <f>D13-D15</f>
        <v>349532644</v>
      </c>
      <c r="E14" s="17">
        <f>D14+E13-E15</f>
        <v>615423844</v>
      </c>
      <c r="F14" s="17">
        <f>E14+F13-F15</f>
        <v>1065337444</v>
      </c>
      <c r="G14" s="17">
        <f>F14+G13-G15</f>
        <v>1433382338</v>
      </c>
      <c r="H14" s="17">
        <f>G14+H13-H15</f>
        <v>1851445722</v>
      </c>
      <c r="I14" s="17">
        <f t="shared" ref="I14:L14" si="18">H14+I13-I15</f>
        <v>2323993260</v>
      </c>
      <c r="J14" s="17">
        <f t="shared" si="18"/>
        <v>3072993260</v>
      </c>
      <c r="K14" s="17">
        <f t="shared" si="18"/>
        <v>3978445722</v>
      </c>
      <c r="L14" s="17">
        <f t="shared" si="18"/>
        <v>4917445722</v>
      </c>
      <c r="M14" s="17">
        <f>L14+M13-M15</f>
        <v>6175158460</v>
      </c>
      <c r="N14" s="17">
        <f>M14+N13-N15</f>
        <v>7339158460</v>
      </c>
      <c r="O14" s="17">
        <f>N14+O13-O15</f>
        <v>8137158460</v>
      </c>
      <c r="P14" s="17">
        <f>O14+P13-P15</f>
        <v>3592209498.4899998</v>
      </c>
      <c r="Q14" s="17">
        <f>P14</f>
        <v>3592209498.4899998</v>
      </c>
      <c r="R14" s="17">
        <f>Q14</f>
        <v>3592209498.4899998</v>
      </c>
      <c r="S14" s="17">
        <f>R14+S13-S15</f>
        <v>3164209498.4899998</v>
      </c>
      <c r="T14" s="17">
        <f>S14+T13-T15</f>
        <v>3029209498.4899998</v>
      </c>
      <c r="U14" s="17">
        <f>T14+U13-U15</f>
        <v>2183209498.4899998</v>
      </c>
      <c r="V14" s="17">
        <f>U14+V13-V15</f>
        <v>1920104749.2399998</v>
      </c>
      <c r="W14" s="17">
        <f t="shared" ref="W14" si="19">V14+W13-W15</f>
        <v>2443552374.6399999</v>
      </c>
      <c r="X14" s="17">
        <f t="shared" ref="X14" si="20">W14+X13-X15</f>
        <v>2849776187.3399992</v>
      </c>
      <c r="Y14" s="17">
        <f t="shared" ref="Y14" si="21">X14+Y13-Y15</f>
        <v>3402388093.6899991</v>
      </c>
      <c r="Z14" s="17">
        <f t="shared" ref="Z14" si="22">Y14+Z13-Z15</f>
        <v>3530194046.8399987</v>
      </c>
      <c r="AA14" s="17">
        <f>Z14+AA13-AA15</f>
        <v>3194625090.6399989</v>
      </c>
      <c r="AB14" s="115">
        <f>AA14+AB13-AB15</f>
        <v>0</v>
      </c>
      <c r="AC14" s="115">
        <f>AB14+AC13-AC15</f>
        <v>0</v>
      </c>
      <c r="AD14" s="115">
        <f>AC14+AD13-AD15</f>
        <v>0</v>
      </c>
      <c r="AE14" s="115">
        <f>AD14</f>
        <v>0</v>
      </c>
      <c r="AF14" s="115">
        <f>AE14</f>
        <v>0</v>
      </c>
      <c r="AG14" s="101"/>
    </row>
    <row r="15" spans="1:35" x14ac:dyDescent="0.25">
      <c r="A15" s="19" t="s">
        <v>26</v>
      </c>
      <c r="B15" s="19"/>
      <c r="C15" s="20">
        <f>C9*100/70</f>
        <v>27467356</v>
      </c>
      <c r="D15" s="20">
        <f>B15+C15</f>
        <v>27467356</v>
      </c>
      <c r="E15" s="20"/>
      <c r="F15" s="20"/>
      <c r="G15" s="20">
        <v>63985106</v>
      </c>
      <c r="H15" s="20">
        <v>121936616</v>
      </c>
      <c r="I15" s="20">
        <v>91452462</v>
      </c>
      <c r="J15" s="20"/>
      <c r="K15" s="20">
        <f>K9*100/70</f>
        <v>0</v>
      </c>
      <c r="L15" s="20"/>
      <c r="M15" s="20"/>
      <c r="N15" s="20"/>
      <c r="O15" s="20"/>
      <c r="P15" s="20">
        <v>5062948961.5100002</v>
      </c>
      <c r="Q15" s="21">
        <f>E15+F15+G15+H15+I15+J15+K15+L15+M15+N15+O15+P15</f>
        <v>5340323145.5100002</v>
      </c>
      <c r="R15" s="21">
        <f>Q15+D15</f>
        <v>5367790501.5100002</v>
      </c>
      <c r="S15" s="20">
        <v>600000000</v>
      </c>
      <c r="T15" s="20">
        <v>400000000</v>
      </c>
      <c r="U15" s="103">
        <f>2500000000-1000000000</f>
        <v>1500000000</v>
      </c>
      <c r="V15" s="103">
        <f>3840209498.5/2</f>
        <v>1920104749.25</v>
      </c>
      <c r="W15" s="103">
        <f>4887104749.2/2</f>
        <v>2443552374.5999999</v>
      </c>
      <c r="X15" s="103">
        <f>5699552374.6/2</f>
        <v>2849776187.3000002</v>
      </c>
      <c r="Y15" s="103">
        <f>6804776187.3/2</f>
        <v>3402388093.6500001</v>
      </c>
      <c r="Z15" s="103">
        <f>7060388093.7/2</f>
        <v>3530194046.8499999</v>
      </c>
      <c r="AA15" s="103">
        <f>6389194046.8/2</f>
        <v>3194597023.4000001</v>
      </c>
      <c r="AB15" s="103">
        <f>3194597023.4+28067.24</f>
        <v>3194625090.6399999</v>
      </c>
      <c r="AC15" s="20"/>
      <c r="AD15" s="20"/>
      <c r="AE15" s="21">
        <f>S15+T15+U15+V15+W15+X15+Y15+Z15+AA15+AB15+AC15+AD15</f>
        <v>23035237565.690002</v>
      </c>
      <c r="AF15" s="21">
        <f>AE15+R15</f>
        <v>28403028067.200005</v>
      </c>
    </row>
    <row r="16" spans="1:35" x14ac:dyDescent="0.25">
      <c r="A16" s="22" t="s">
        <v>27</v>
      </c>
      <c r="B16" s="22"/>
      <c r="C16" s="23">
        <f>C15*30%</f>
        <v>8240206.7999999998</v>
      </c>
      <c r="D16" s="23">
        <f>D15-D9</f>
        <v>8240206.8000000007</v>
      </c>
      <c r="E16" s="23"/>
      <c r="F16" s="23">
        <f t="shared" ref="F16" si="23">F15*30%</f>
        <v>0</v>
      </c>
      <c r="G16" s="23">
        <v>30953705.489999998</v>
      </c>
      <c r="H16" s="23">
        <f>91452462-39193912.3</f>
        <v>52258549.700000003</v>
      </c>
      <c r="I16" s="23"/>
      <c r="J16" s="23"/>
      <c r="K16" s="23">
        <f>K15*30%</f>
        <v>0</v>
      </c>
      <c r="L16" s="23"/>
      <c r="M16" s="23">
        <f>M15*30%</f>
        <v>0</v>
      </c>
      <c r="N16" s="23">
        <f>N15*30%</f>
        <v>0</v>
      </c>
      <c r="O16" s="23">
        <f>O15*30%</f>
        <v>0</v>
      </c>
      <c r="P16" s="23"/>
      <c r="Q16" s="24">
        <f>E16+F16+G16+H16+I16+J16+K16+L16+M16+N16+O16+P16</f>
        <v>83212255.189999998</v>
      </c>
      <c r="R16" s="24">
        <f>Q16+D16</f>
        <v>91452461.989999995</v>
      </c>
      <c r="S16" s="23">
        <f>S15*S17</f>
        <v>431575049.2595427</v>
      </c>
      <c r="T16" s="23">
        <f>T15*T17</f>
        <v>287716699.50636178</v>
      </c>
      <c r="U16" s="23">
        <f>U15*U17</f>
        <v>1289941083.9395268</v>
      </c>
      <c r="V16" s="23">
        <f>V15*V17</f>
        <v>1651214667.6870594</v>
      </c>
      <c r="W16" s="23">
        <f>W15*V17</f>
        <v>2101359065.8411126</v>
      </c>
      <c r="X16" s="23">
        <f>X15*V17</f>
        <v>2450695589.3594275</v>
      </c>
      <c r="Y16" s="23">
        <f>Y15*V17</f>
        <v>2925920123.6771755</v>
      </c>
      <c r="Z16" s="23">
        <f>Z15*V17</f>
        <v>3035828223.547246</v>
      </c>
      <c r="AA16" s="23">
        <f>AA15*V17</f>
        <v>2747227964.7492781</v>
      </c>
      <c r="AB16" s="23">
        <f>AB15*V17</f>
        <v>2747252101.4732704</v>
      </c>
      <c r="AC16" s="23">
        <f>AC15*30%</f>
        <v>0</v>
      </c>
      <c r="AD16" s="23"/>
      <c r="AE16" s="24">
        <f>S16+T16+U16+V16+W16+X16+Y16+Z16+AA16+AB16+AC16+AD16</f>
        <v>19668730569.040001</v>
      </c>
      <c r="AF16" s="24">
        <f>AE16+R16</f>
        <v>19760183031.030003</v>
      </c>
      <c r="AG16" s="100">
        <f>(AF11+AF8)-AF16</f>
        <v>9.998321533203125E-3</v>
      </c>
    </row>
    <row r="17" spans="1:34" x14ac:dyDescent="0.25">
      <c r="A17" s="25" t="s">
        <v>55</v>
      </c>
      <c r="B17" s="25"/>
      <c r="C17" s="26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106">
        <f>R11/T25</f>
        <v>0.71929174876590452</v>
      </c>
      <c r="T17" s="105">
        <f>S17</f>
        <v>0.71929174876590452</v>
      </c>
      <c r="U17" s="105">
        <f>U26/U25</f>
        <v>0.85996072262635126</v>
      </c>
      <c r="V17" s="105">
        <f t="shared" ref="V17" si="24">V26/V25</f>
        <v>0.85996072262829926</v>
      </c>
      <c r="W17" s="105">
        <f>V17</f>
        <v>0.85996072262829926</v>
      </c>
      <c r="X17" s="106">
        <f t="shared" ref="X17:AB17" si="25">W17</f>
        <v>0.85996072262829926</v>
      </c>
      <c r="Y17" s="106">
        <f t="shared" si="25"/>
        <v>0.85996072262829926</v>
      </c>
      <c r="Z17" s="106">
        <f t="shared" si="25"/>
        <v>0.85996072262829926</v>
      </c>
      <c r="AA17" s="106">
        <f t="shared" si="25"/>
        <v>0.85996072262829926</v>
      </c>
      <c r="AB17" s="106">
        <f t="shared" si="25"/>
        <v>0.85996072262829926</v>
      </c>
      <c r="AF17" s="104">
        <f>AF16/AF15</f>
        <v>0.69570691492042658</v>
      </c>
    </row>
    <row r="18" spans="1:34" x14ac:dyDescent="0.25">
      <c r="A18" s="25"/>
      <c r="B18" s="25"/>
      <c r="C18" s="26"/>
      <c r="D18" s="46" t="s">
        <v>36</v>
      </c>
      <c r="E18" s="26"/>
      <c r="F18" s="26"/>
      <c r="G18" s="26"/>
      <c r="H18" s="45" t="s">
        <v>37</v>
      </c>
      <c r="I18" s="52"/>
      <c r="J18" s="45"/>
      <c r="K18" s="26"/>
      <c r="L18" s="26"/>
      <c r="M18" s="26"/>
      <c r="N18" s="26"/>
      <c r="O18" s="26"/>
      <c r="P18" s="26"/>
      <c r="Q18" s="27"/>
      <c r="S18" s="121">
        <f>20915162370-304841540</f>
        <v>20610320830</v>
      </c>
      <c r="T18" s="121">
        <f>20915162370-304841540</f>
        <v>20610320830</v>
      </c>
      <c r="U18" s="121">
        <f>28403028067.2-304841540</f>
        <v>28098186527.200001</v>
      </c>
      <c r="V18" s="121">
        <v>28098186527.200001</v>
      </c>
      <c r="W18" s="121">
        <v>28098186527.200001</v>
      </c>
      <c r="AF18" s="100">
        <f>AF16-AF8-AF11</f>
        <v>-9.998321533203125E-3</v>
      </c>
    </row>
    <row r="19" spans="1:34" ht="40.5" hidden="1" x14ac:dyDescent="0.25">
      <c r="A19" s="66" t="s">
        <v>32</v>
      </c>
      <c r="B19" s="25"/>
      <c r="C19" s="26"/>
      <c r="D19" s="58">
        <v>20915162.57</v>
      </c>
      <c r="E19" s="26"/>
      <c r="G19" s="65" t="s">
        <v>40</v>
      </c>
      <c r="H19" s="58">
        <f>10290372*1.2</f>
        <v>12348446.4</v>
      </c>
      <c r="I19" s="53"/>
      <c r="K19" s="64" t="s">
        <v>34</v>
      </c>
      <c r="L19" s="46">
        <f>3730900+3240500</f>
        <v>6971400</v>
      </c>
      <c r="M19" s="26"/>
      <c r="N19" s="26"/>
      <c r="O19" s="26"/>
      <c r="P19" s="47">
        <f>P20/D19</f>
        <v>9.9995397740769265E-2</v>
      </c>
      <c r="Q19" s="59" t="s">
        <v>39</v>
      </c>
      <c r="S19" s="121"/>
      <c r="T19" s="121"/>
      <c r="U19" s="121"/>
      <c r="V19" s="121"/>
      <c r="W19" s="121"/>
    </row>
    <row r="20" spans="1:34" hidden="1" x14ac:dyDescent="0.25">
      <c r="A20" s="66" t="s">
        <v>33</v>
      </c>
      <c r="B20" s="25"/>
      <c r="C20" s="26"/>
      <c r="D20" s="67">
        <f>D19*30%</f>
        <v>6274548.7709999997</v>
      </c>
      <c r="E20" s="26"/>
      <c r="F20" s="182" t="s">
        <v>46</v>
      </c>
      <c r="G20" s="182"/>
      <c r="H20" s="55">
        <f>H19*H24</f>
        <v>0</v>
      </c>
      <c r="I20" s="53"/>
      <c r="J20" s="26"/>
      <c r="K20" s="45" t="s">
        <v>33</v>
      </c>
      <c r="L20" s="56">
        <f>L19*0.3</f>
        <v>2091420</v>
      </c>
      <c r="M20" s="26"/>
      <c r="N20" s="182" t="s">
        <v>41</v>
      </c>
      <c r="O20" s="182"/>
      <c r="P20" s="55">
        <f>H20+L20</f>
        <v>2091420</v>
      </c>
      <c r="Q20" s="49">
        <f>P20-R11/1000-R8/1000</f>
        <v>-9183128.7620000001</v>
      </c>
      <c r="R20" s="50" t="s">
        <v>42</v>
      </c>
      <c r="S20" s="121"/>
      <c r="T20" s="121"/>
      <c r="U20" s="121"/>
      <c r="V20" s="121"/>
      <c r="W20" s="121"/>
      <c r="AF20" s="50" t="s">
        <v>42</v>
      </c>
    </row>
    <row r="21" spans="1:34" hidden="1" x14ac:dyDescent="0.25">
      <c r="A21" s="25" t="s">
        <v>32</v>
      </c>
      <c r="B21" s="25"/>
      <c r="C21" s="26"/>
      <c r="D21" s="26">
        <v>25091976.5</v>
      </c>
      <c r="E21" s="26"/>
      <c r="F21" s="26"/>
      <c r="G21" s="26"/>
      <c r="H21" s="47">
        <f>H20/H19</f>
        <v>0</v>
      </c>
      <c r="I21" s="54"/>
      <c r="J21" s="26"/>
      <c r="K21" s="45"/>
      <c r="L21" s="26"/>
      <c r="M21" s="26"/>
      <c r="N21" s="182"/>
      <c r="O21" s="182"/>
      <c r="P21" s="26"/>
      <c r="Q21" s="27"/>
      <c r="S21" s="121"/>
      <c r="T21" s="121"/>
      <c r="U21" s="121"/>
      <c r="V21" s="121"/>
      <c r="W21" s="121"/>
    </row>
    <row r="22" spans="1:34" hidden="1" x14ac:dyDescent="0.25">
      <c r="A22" s="25" t="s">
        <v>33</v>
      </c>
      <c r="B22" s="25"/>
      <c r="C22" s="26"/>
      <c r="D22" s="57">
        <f>D21*30%</f>
        <v>7527592.9500000002</v>
      </c>
      <c r="E22" s="26"/>
      <c r="F22" s="26"/>
      <c r="G22" s="26"/>
      <c r="H22" s="47"/>
      <c r="I22" s="54"/>
      <c r="J22" s="26"/>
      <c r="K22" s="45"/>
      <c r="L22" s="26"/>
      <c r="M22" s="26"/>
      <c r="N22" s="48"/>
      <c r="O22" s="48"/>
      <c r="P22" s="47"/>
      <c r="Q22" s="27"/>
      <c r="S22" s="121"/>
      <c r="T22" s="121"/>
      <c r="U22" s="121"/>
      <c r="V22" s="121"/>
      <c r="W22" s="121"/>
    </row>
    <row r="23" spans="1:34" ht="15.75" hidden="1" x14ac:dyDescent="0.25">
      <c r="A23" s="99" t="s">
        <v>51</v>
      </c>
      <c r="B23" s="68"/>
      <c r="C23" s="69"/>
      <c r="D23" s="73"/>
      <c r="E23" s="74"/>
      <c r="H23" s="71" t="s">
        <v>52</v>
      </c>
      <c r="S23" s="121"/>
      <c r="T23" s="121"/>
      <c r="U23" s="121"/>
      <c r="V23" s="121"/>
      <c r="W23" s="121"/>
    </row>
    <row r="24" spans="1:34" x14ac:dyDescent="0.25">
      <c r="A24" s="98" t="s">
        <v>50</v>
      </c>
      <c r="B24" s="25"/>
      <c r="C24" s="26"/>
      <c r="D24" s="98" t="s">
        <v>31</v>
      </c>
      <c r="E24" s="26"/>
      <c r="F24" s="182"/>
      <c r="G24" s="182"/>
      <c r="H24" s="63"/>
      <c r="I24" s="54"/>
      <c r="J24" s="26"/>
      <c r="K24" s="45"/>
      <c r="L24" s="45"/>
      <c r="M24" s="26"/>
      <c r="N24" s="182"/>
      <c r="O24" s="182"/>
      <c r="P24" s="26"/>
      <c r="Q24" s="27"/>
      <c r="R24" s="122"/>
      <c r="S24" s="121">
        <f>P15</f>
        <v>5062948961.5100002</v>
      </c>
      <c r="T24" s="121">
        <f>S24</f>
        <v>5062948961.5100002</v>
      </c>
      <c r="U24" s="121">
        <f>T24+S15+T15</f>
        <v>6062948961.5100002</v>
      </c>
      <c r="V24" s="121">
        <f>U24+U15</f>
        <v>7562948961.5100002</v>
      </c>
      <c r="W24" s="121">
        <f>V24+V15</f>
        <v>9483053710.7600002</v>
      </c>
      <c r="AF24" s="50"/>
    </row>
    <row r="25" spans="1:34" ht="18.75" customHeight="1" x14ac:dyDescent="0.25">
      <c r="A25" s="28"/>
      <c r="F25" s="26"/>
      <c r="G25" s="26"/>
      <c r="H25" s="47"/>
      <c r="N25" s="182"/>
      <c r="O25" s="182"/>
      <c r="P25" s="26"/>
      <c r="S25" s="121">
        <f>S18-S24</f>
        <v>15547371868.49</v>
      </c>
      <c r="T25" s="121">
        <f>T18-T24</f>
        <v>15547371868.49</v>
      </c>
      <c r="U25" s="121">
        <f>U18-U24</f>
        <v>22035237565.690002</v>
      </c>
      <c r="V25" s="121">
        <f>V18-V24</f>
        <v>20535237565.690002</v>
      </c>
      <c r="W25" s="121">
        <f>W18-W24</f>
        <v>18615132816.440002</v>
      </c>
    </row>
    <row r="26" spans="1:34" ht="18.75" customHeight="1" x14ac:dyDescent="0.25">
      <c r="A26" s="28"/>
      <c r="F26" s="26"/>
      <c r="G26" s="26"/>
      <c r="H26" s="47"/>
      <c r="N26" s="48"/>
      <c r="O26" s="48"/>
      <c r="P26" s="26"/>
      <c r="S26" s="121">
        <f>R11</f>
        <v>11183096300</v>
      </c>
      <c r="T26" s="121"/>
      <c r="U26" s="121">
        <f>R11-S16-T16+U11</f>
        <v>18949438820.234097</v>
      </c>
      <c r="V26" s="121">
        <f>U26-U16+V11</f>
        <v>17659497736.334572</v>
      </c>
      <c r="W26" s="121"/>
    </row>
    <row r="27" spans="1:34" x14ac:dyDescent="0.25">
      <c r="A27" s="76" t="s">
        <v>2</v>
      </c>
      <c r="D27" s="76"/>
      <c r="E27" s="183">
        <v>2021</v>
      </c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5"/>
      <c r="R27" s="198" t="s">
        <v>44</v>
      </c>
      <c r="S27" s="174" t="s">
        <v>67</v>
      </c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6"/>
      <c r="AF27" s="198" t="s">
        <v>56</v>
      </c>
      <c r="AG27" s="198" t="s">
        <v>57</v>
      </c>
      <c r="AH27" s="198" t="s">
        <v>54</v>
      </c>
    </row>
    <row r="28" spans="1:34" x14ac:dyDescent="0.25">
      <c r="A28" s="76"/>
      <c r="D28" s="77"/>
      <c r="E28" s="77" t="s">
        <v>7</v>
      </c>
      <c r="F28" s="77" t="s">
        <v>8</v>
      </c>
      <c r="G28" s="77" t="s">
        <v>9</v>
      </c>
      <c r="H28" s="77" t="s">
        <v>10</v>
      </c>
      <c r="I28" s="77" t="s">
        <v>11</v>
      </c>
      <c r="J28" s="77" t="s">
        <v>12</v>
      </c>
      <c r="K28" s="77" t="s">
        <v>13</v>
      </c>
      <c r="L28" s="77" t="s">
        <v>14</v>
      </c>
      <c r="M28" s="77" t="s">
        <v>15</v>
      </c>
      <c r="N28" s="77" t="s">
        <v>16</v>
      </c>
      <c r="O28" s="77" t="s">
        <v>4</v>
      </c>
      <c r="P28" s="77" t="s">
        <v>5</v>
      </c>
      <c r="Q28" s="77" t="s">
        <v>6</v>
      </c>
      <c r="R28" s="199"/>
      <c r="S28" s="5" t="s">
        <v>7</v>
      </c>
      <c r="T28" s="5" t="s">
        <v>8</v>
      </c>
      <c r="U28" s="5" t="s">
        <v>9</v>
      </c>
      <c r="V28" s="5" t="s">
        <v>10</v>
      </c>
      <c r="W28" s="5" t="s">
        <v>11</v>
      </c>
      <c r="X28" s="5" t="s">
        <v>12</v>
      </c>
      <c r="Y28" s="5" t="s">
        <v>13</v>
      </c>
      <c r="Z28" s="5" t="s">
        <v>14</v>
      </c>
      <c r="AA28" s="5" t="s">
        <v>15</v>
      </c>
      <c r="AB28" s="5" t="s">
        <v>16</v>
      </c>
      <c r="AC28" s="5" t="s">
        <v>4</v>
      </c>
      <c r="AD28" s="5" t="s">
        <v>5</v>
      </c>
      <c r="AE28" s="5" t="s">
        <v>6</v>
      </c>
      <c r="AF28" s="199"/>
      <c r="AG28" s="199"/>
      <c r="AH28" s="199"/>
    </row>
    <row r="29" spans="1:34" ht="51" x14ac:dyDescent="0.25">
      <c r="A29" s="6" t="s">
        <v>17</v>
      </c>
      <c r="D29" s="87"/>
      <c r="E29" s="87">
        <f t="shared" ref="E29:P29" si="26">E30</f>
        <v>0</v>
      </c>
      <c r="F29" s="87">
        <f t="shared" si="26"/>
        <v>0</v>
      </c>
      <c r="G29" s="87">
        <f t="shared" si="26"/>
        <v>0</v>
      </c>
      <c r="H29" s="88">
        <f t="shared" si="26"/>
        <v>0</v>
      </c>
      <c r="I29" s="88">
        <f t="shared" si="26"/>
        <v>578790360</v>
      </c>
      <c r="J29" s="88">
        <f t="shared" si="26"/>
        <v>1157536628</v>
      </c>
      <c r="K29" s="88">
        <f t="shared" si="26"/>
        <v>0</v>
      </c>
      <c r="L29" s="88">
        <f t="shared" si="26"/>
        <v>0</v>
      </c>
      <c r="M29" s="88">
        <f t="shared" si="26"/>
        <v>0</v>
      </c>
      <c r="N29" s="88">
        <f t="shared" si="26"/>
        <v>1695434365.1300001</v>
      </c>
      <c r="O29" s="88">
        <f t="shared" si="26"/>
        <v>194673012</v>
      </c>
      <c r="P29" s="88">
        <f t="shared" si="26"/>
        <v>259594016</v>
      </c>
      <c r="Q29" s="88">
        <f>Q30</f>
        <v>3886028381.1300001</v>
      </c>
      <c r="R29" s="7">
        <f t="shared" ref="R29:R37" si="27">Q29+D29</f>
        <v>3886028381.1300001</v>
      </c>
      <c r="S29" s="7">
        <f t="shared" ref="S29:AD29" si="28">S30</f>
        <v>9869844681</v>
      </c>
      <c r="T29" s="7">
        <f t="shared" si="28"/>
        <v>0</v>
      </c>
      <c r="U29" s="7">
        <f t="shared" si="28"/>
        <v>1069673012</v>
      </c>
      <c r="V29" s="7">
        <f t="shared" si="28"/>
        <v>1400000000</v>
      </c>
      <c r="W29" s="7">
        <f t="shared" si="28"/>
        <v>1160909180.76</v>
      </c>
      <c r="X29" s="7">
        <f t="shared" si="28"/>
        <v>1553958868.1400003</v>
      </c>
      <c r="Y29" s="7">
        <f t="shared" si="28"/>
        <v>9828402842.0710144</v>
      </c>
      <c r="Z29" s="7">
        <f t="shared" si="28"/>
        <v>934631740.56165075</v>
      </c>
      <c r="AA29" s="7">
        <f t="shared" si="28"/>
        <v>1130319343.9566104</v>
      </c>
      <c r="AB29" s="7">
        <f t="shared" si="28"/>
        <v>1050122840.4772694</v>
      </c>
      <c r="AC29" s="7">
        <f t="shared" si="28"/>
        <v>9292854872.4209824</v>
      </c>
      <c r="AD29" s="7">
        <f t="shared" si="28"/>
        <v>357776671.88354897</v>
      </c>
      <c r="AE29" s="7">
        <f>AE30</f>
        <v>37648494053.271072</v>
      </c>
      <c r="AF29" s="7">
        <f t="shared" ref="AF29:AF37" si="29">AE29+R29</f>
        <v>41534522434.40107</v>
      </c>
      <c r="AG29" s="7">
        <f>AG30</f>
        <v>3453074385.5649858</v>
      </c>
      <c r="AH29" s="7">
        <f>AF29+AG29</f>
        <v>44987596819.966057</v>
      </c>
    </row>
    <row r="30" spans="1:34" ht="38.25" x14ac:dyDescent="0.25">
      <c r="A30" s="8" t="s">
        <v>29</v>
      </c>
      <c r="D30" s="89"/>
      <c r="E30" s="89">
        <f t="shared" ref="E30:P30" si="30">E31+E34</f>
        <v>0</v>
      </c>
      <c r="F30" s="89">
        <f t="shared" si="30"/>
        <v>0</v>
      </c>
      <c r="G30" s="89">
        <f t="shared" si="30"/>
        <v>0</v>
      </c>
      <c r="H30" s="90">
        <f t="shared" si="30"/>
        <v>0</v>
      </c>
      <c r="I30" s="90">
        <f t="shared" si="30"/>
        <v>578790360</v>
      </c>
      <c r="J30" s="90">
        <f t="shared" si="30"/>
        <v>1157536628</v>
      </c>
      <c r="K30" s="90">
        <f t="shared" si="30"/>
        <v>0</v>
      </c>
      <c r="L30" s="90">
        <f t="shared" si="30"/>
        <v>0</v>
      </c>
      <c r="M30" s="90">
        <f t="shared" si="30"/>
        <v>0</v>
      </c>
      <c r="N30" s="90">
        <f t="shared" si="30"/>
        <v>1695434365.1300001</v>
      </c>
      <c r="O30" s="90">
        <f t="shared" si="30"/>
        <v>194673012</v>
      </c>
      <c r="P30" s="90">
        <f t="shared" si="30"/>
        <v>259594016</v>
      </c>
      <c r="Q30" s="90">
        <f>Q31+Q34</f>
        <v>3886028381.1300001</v>
      </c>
      <c r="R30" s="10">
        <f t="shared" si="27"/>
        <v>3886028381.1300001</v>
      </c>
      <c r="S30" s="9">
        <f t="shared" ref="S30:AD30" si="31">S31+S34</f>
        <v>9869844681</v>
      </c>
      <c r="T30" s="9">
        <f t="shared" si="31"/>
        <v>0</v>
      </c>
      <c r="U30" s="9">
        <f t="shared" si="31"/>
        <v>1069673012</v>
      </c>
      <c r="V30" s="9">
        <f t="shared" si="31"/>
        <v>1400000000</v>
      </c>
      <c r="W30" s="9">
        <f t="shared" si="31"/>
        <v>1160909180.76</v>
      </c>
      <c r="X30" s="9">
        <f t="shared" si="31"/>
        <v>1553958868.1400003</v>
      </c>
      <c r="Y30" s="9">
        <f t="shared" si="31"/>
        <v>9828402842.0710144</v>
      </c>
      <c r="Z30" s="9">
        <f t="shared" si="31"/>
        <v>934631740.56165075</v>
      </c>
      <c r="AA30" s="9">
        <f t="shared" si="31"/>
        <v>1130319343.9566104</v>
      </c>
      <c r="AB30" s="9">
        <f t="shared" si="31"/>
        <v>1050122840.4772694</v>
      </c>
      <c r="AC30" s="9">
        <f t="shared" si="31"/>
        <v>9292854872.4209824</v>
      </c>
      <c r="AD30" s="9">
        <f t="shared" si="31"/>
        <v>357776671.88354897</v>
      </c>
      <c r="AE30" s="10">
        <f>AE31+AE34</f>
        <v>37648494053.271072</v>
      </c>
      <c r="AF30" s="10">
        <f t="shared" si="29"/>
        <v>41534522434.40107</v>
      </c>
      <c r="AG30" s="10">
        <f>AG31+AG34</f>
        <v>3453074385.5649858</v>
      </c>
      <c r="AH30" s="10">
        <f t="shared" ref="AH30:AH40" si="32">AF30+AG30</f>
        <v>44987596819.966057</v>
      </c>
    </row>
    <row r="31" spans="1:34" x14ac:dyDescent="0.25">
      <c r="A31" s="11" t="s">
        <v>19</v>
      </c>
      <c r="D31" s="91"/>
      <c r="E31" s="91">
        <f t="shared" ref="E31:F31" si="33">E32+E33</f>
        <v>0</v>
      </c>
      <c r="F31" s="91">
        <f t="shared" si="33"/>
        <v>0</v>
      </c>
      <c r="G31" s="91">
        <f>G32+G33</f>
        <v>0</v>
      </c>
      <c r="H31" s="92">
        <f>H32+H33</f>
        <v>0</v>
      </c>
      <c r="I31" s="92">
        <f t="shared" ref="I31:P31" si="34">I32+I33</f>
        <v>0</v>
      </c>
      <c r="J31" s="92">
        <f t="shared" si="34"/>
        <v>0</v>
      </c>
      <c r="K31" s="92">
        <f t="shared" si="34"/>
        <v>0</v>
      </c>
      <c r="L31" s="92">
        <f t="shared" si="34"/>
        <v>0</v>
      </c>
      <c r="M31" s="92">
        <f t="shared" si="34"/>
        <v>0</v>
      </c>
      <c r="N31" s="92">
        <f t="shared" si="34"/>
        <v>0</v>
      </c>
      <c r="O31" s="92">
        <f t="shared" si="34"/>
        <v>194673012</v>
      </c>
      <c r="P31" s="92">
        <f t="shared" si="34"/>
        <v>259594016</v>
      </c>
      <c r="Q31" s="92">
        <f>Q32+Q33</f>
        <v>454267028</v>
      </c>
      <c r="R31" s="13">
        <f t="shared" si="27"/>
        <v>454267028</v>
      </c>
      <c r="S31" s="12">
        <f t="shared" ref="S31:T31" si="35">S32+S33</f>
        <v>0</v>
      </c>
      <c r="T31" s="12">
        <f t="shared" si="35"/>
        <v>0</v>
      </c>
      <c r="U31" s="12">
        <f>U32+U33</f>
        <v>194673012</v>
      </c>
      <c r="V31" s="12">
        <f>V32+V33</f>
        <v>0</v>
      </c>
      <c r="W31" s="12">
        <f t="shared" ref="W31:AD31" si="36">W32+W33</f>
        <v>0</v>
      </c>
      <c r="X31" s="12">
        <f t="shared" si="36"/>
        <v>0</v>
      </c>
      <c r="Y31" s="12">
        <f t="shared" si="36"/>
        <v>0</v>
      </c>
      <c r="Z31" s="12">
        <f t="shared" si="36"/>
        <v>0</v>
      </c>
      <c r="AA31" s="12">
        <f t="shared" si="36"/>
        <v>0</v>
      </c>
      <c r="AB31" s="12">
        <f t="shared" si="36"/>
        <v>0</v>
      </c>
      <c r="AC31" s="12">
        <f t="shared" si="36"/>
        <v>0</v>
      </c>
      <c r="AD31" s="12">
        <f t="shared" si="36"/>
        <v>0</v>
      </c>
      <c r="AE31" s="13">
        <f>AE32+AE33</f>
        <v>194673012</v>
      </c>
      <c r="AF31" s="13">
        <f t="shared" si="29"/>
        <v>648940040</v>
      </c>
      <c r="AG31" s="13">
        <f>AG32+AG33</f>
        <v>0</v>
      </c>
      <c r="AH31" s="13">
        <f t="shared" si="32"/>
        <v>648940040</v>
      </c>
    </row>
    <row r="32" spans="1:34" x14ac:dyDescent="0.25">
      <c r="A32" s="14" t="s">
        <v>20</v>
      </c>
      <c r="D32" s="89"/>
      <c r="E32" s="89"/>
      <c r="F32" s="89"/>
      <c r="G32" s="89"/>
      <c r="H32" s="90"/>
      <c r="I32" s="90"/>
      <c r="J32" s="90"/>
      <c r="K32" s="90"/>
      <c r="L32" s="90"/>
      <c r="M32" s="90"/>
      <c r="N32" s="90"/>
      <c r="O32" s="90"/>
      <c r="P32" s="90"/>
      <c r="Q32" s="90">
        <f>E32+F32+G32+H32+I32+J32+K32+L32+M32+N32+O32+P32</f>
        <v>0</v>
      </c>
      <c r="R32" s="15">
        <f t="shared" si="27"/>
        <v>0</v>
      </c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15">
        <f>S32+T32+U32+V32+W32+X32+Y32+Z32+AA32+AB32+AC32+AD32</f>
        <v>0</v>
      </c>
      <c r="AF32" s="15">
        <f t="shared" si="29"/>
        <v>0</v>
      </c>
      <c r="AG32" s="15">
        <f>U32+V32+W32+X32+Y32+Z32+AA32+AB32+AC32+AD32+AE32+AF32</f>
        <v>0</v>
      </c>
      <c r="AH32" s="15">
        <f t="shared" si="32"/>
        <v>0</v>
      </c>
    </row>
    <row r="33" spans="1:35" x14ac:dyDescent="0.25">
      <c r="A33" s="14" t="s">
        <v>21</v>
      </c>
      <c r="D33" s="89"/>
      <c r="E33" s="89"/>
      <c r="F33" s="89"/>
      <c r="G33" s="89"/>
      <c r="H33" s="90"/>
      <c r="I33" s="90"/>
      <c r="J33" s="90"/>
      <c r="K33" s="90"/>
      <c r="L33" s="90"/>
      <c r="M33" s="90"/>
      <c r="N33" s="90"/>
      <c r="O33" s="90">
        <v>194673012</v>
      </c>
      <c r="P33" s="90">
        <v>259594016</v>
      </c>
      <c r="Q33" s="90">
        <f>E33+F33+G33+H33+I33+J33+K33+L33+M33+N33+O33+P33</f>
        <v>454267028</v>
      </c>
      <c r="R33" s="15">
        <f t="shared" si="27"/>
        <v>454267028</v>
      </c>
      <c r="S33" s="9"/>
      <c r="T33" s="9"/>
      <c r="U33" s="9">
        <v>194673012</v>
      </c>
      <c r="V33" s="9"/>
      <c r="W33" s="9"/>
      <c r="X33" s="9">
        <v>0</v>
      </c>
      <c r="Y33" s="9"/>
      <c r="Z33" s="9"/>
      <c r="AA33" s="9"/>
      <c r="AB33" s="9"/>
      <c r="AC33" s="9"/>
      <c r="AD33" s="9">
        <v>0</v>
      </c>
      <c r="AE33" s="15">
        <f>S33+T33+U33+V33+W33+X33+Y33+Z33+AA33+AB33+AC33+AD33</f>
        <v>194673012</v>
      </c>
      <c r="AF33" s="15">
        <f t="shared" si="29"/>
        <v>648940040</v>
      </c>
      <c r="AG33" s="15">
        <v>0</v>
      </c>
      <c r="AH33" s="15">
        <f t="shared" si="32"/>
        <v>648940040</v>
      </c>
    </row>
    <row r="34" spans="1:35" x14ac:dyDescent="0.25">
      <c r="A34" s="11" t="s">
        <v>22</v>
      </c>
      <c r="D34" s="91"/>
      <c r="E34" s="91">
        <f t="shared" ref="E34:P34" si="37">E36+E35</f>
        <v>0</v>
      </c>
      <c r="F34" s="91">
        <f t="shared" si="37"/>
        <v>0</v>
      </c>
      <c r="G34" s="91">
        <f t="shared" si="37"/>
        <v>0</v>
      </c>
      <c r="H34" s="92">
        <f t="shared" si="37"/>
        <v>0</v>
      </c>
      <c r="I34" s="92">
        <f t="shared" si="37"/>
        <v>578790360</v>
      </c>
      <c r="J34" s="92">
        <f t="shared" si="37"/>
        <v>1157536628</v>
      </c>
      <c r="K34" s="92">
        <f t="shared" si="37"/>
        <v>0</v>
      </c>
      <c r="L34" s="92">
        <f t="shared" si="37"/>
        <v>0</v>
      </c>
      <c r="M34" s="92">
        <f t="shared" si="37"/>
        <v>0</v>
      </c>
      <c r="N34" s="92">
        <f t="shared" si="37"/>
        <v>1695434365.1300001</v>
      </c>
      <c r="O34" s="92">
        <f t="shared" si="37"/>
        <v>0</v>
      </c>
      <c r="P34" s="92">
        <f t="shared" si="37"/>
        <v>0</v>
      </c>
      <c r="Q34" s="92">
        <f>Q35+Q36</f>
        <v>3431761353.1300001</v>
      </c>
      <c r="R34" s="13">
        <f t="shared" si="27"/>
        <v>3431761353.1300001</v>
      </c>
      <c r="S34" s="12">
        <f t="shared" ref="S34:Y34" si="38">S36+S35</f>
        <v>9869844681</v>
      </c>
      <c r="T34" s="12">
        <f t="shared" si="38"/>
        <v>0</v>
      </c>
      <c r="U34" s="12">
        <f t="shared" si="38"/>
        <v>875000000</v>
      </c>
      <c r="V34" s="12">
        <f t="shared" si="38"/>
        <v>1400000000</v>
      </c>
      <c r="W34" s="12">
        <f t="shared" si="38"/>
        <v>1160909180.76</v>
      </c>
      <c r="X34" s="12">
        <f t="shared" si="38"/>
        <v>1553958868.1400003</v>
      </c>
      <c r="Y34" s="12">
        <f t="shared" si="38"/>
        <v>9828402842.0710144</v>
      </c>
      <c r="Z34" s="12">
        <f>Z35+Z36</f>
        <v>934631740.56165075</v>
      </c>
      <c r="AA34" s="12">
        <f t="shared" ref="AA34" si="39">AA36+AA35</f>
        <v>1130319343.9566104</v>
      </c>
      <c r="AB34" s="12">
        <f>AB36+AB35</f>
        <v>1050122840.4772694</v>
      </c>
      <c r="AC34" s="12">
        <f t="shared" ref="AC34:AD34" si="40">AC36+AC35</f>
        <v>9292854872.4209824</v>
      </c>
      <c r="AD34" s="12">
        <f t="shared" si="40"/>
        <v>357776671.88354897</v>
      </c>
      <c r="AE34" s="13">
        <f>AE35+AE36</f>
        <v>37453821041.271072</v>
      </c>
      <c r="AF34" s="13">
        <f t="shared" si="29"/>
        <v>40885582394.40107</v>
      </c>
      <c r="AG34" s="13">
        <f>AG35+AG36</f>
        <v>3453074385.5649858</v>
      </c>
      <c r="AH34" s="13">
        <f t="shared" si="32"/>
        <v>44338656779.966057</v>
      </c>
    </row>
    <row r="35" spans="1:35" x14ac:dyDescent="0.25">
      <c r="A35" s="14" t="s">
        <v>20</v>
      </c>
      <c r="D35" s="89"/>
      <c r="E35" s="89"/>
      <c r="F35" s="89"/>
      <c r="G35" s="89"/>
      <c r="H35" s="90"/>
      <c r="I35" s="90">
        <v>578790360</v>
      </c>
      <c r="J35" s="90">
        <v>1157536628</v>
      </c>
      <c r="K35" s="90"/>
      <c r="L35" s="90">
        <v>0</v>
      </c>
      <c r="M35" s="90">
        <v>0</v>
      </c>
      <c r="N35" s="90">
        <v>1695434365.1300001</v>
      </c>
      <c r="O35" s="90"/>
      <c r="P35" s="90"/>
      <c r="Q35" s="90">
        <f>E35+F35+G35+H35+I35+J35+K35+L35+M35+N35+O35+P35</f>
        <v>3431761353.1300001</v>
      </c>
      <c r="R35" s="15">
        <f t="shared" si="27"/>
        <v>3431761353.1300001</v>
      </c>
      <c r="S35" s="60">
        <v>9869844681</v>
      </c>
      <c r="T35" s="9"/>
      <c r="U35" s="9"/>
      <c r="V35" s="9"/>
      <c r="W35" s="9"/>
      <c r="X35" s="9"/>
      <c r="Y35" s="9">
        <f>T43*50%-T48</f>
        <v>8867737355.8699989</v>
      </c>
      <c r="Z35" s="9"/>
      <c r="AA35" s="9"/>
      <c r="AB35" s="9"/>
      <c r="AC35" s="9">
        <f>31037080746-22169343390</f>
        <v>8867737356</v>
      </c>
      <c r="AD35" s="9"/>
      <c r="AE35" s="15">
        <f>S35+T35+U35+V35+W35+X35+Y35+Z35+AA35+AB35+AC35+AD35</f>
        <v>27605319392.869999</v>
      </c>
      <c r="AF35" s="15">
        <f t="shared" si="29"/>
        <v>31037080746</v>
      </c>
      <c r="AG35" s="15">
        <v>0</v>
      </c>
      <c r="AH35" s="15">
        <f t="shared" si="32"/>
        <v>31037080746</v>
      </c>
    </row>
    <row r="36" spans="1:35" x14ac:dyDescent="0.25">
      <c r="A36" s="14" t="s">
        <v>21</v>
      </c>
      <c r="D36" s="89"/>
      <c r="E36" s="89"/>
      <c r="F36" s="89"/>
      <c r="G36" s="89"/>
      <c r="H36" s="90"/>
      <c r="I36" s="90"/>
      <c r="J36" s="90"/>
      <c r="K36" s="90"/>
      <c r="L36" s="90"/>
      <c r="M36" s="90"/>
      <c r="N36" s="90"/>
      <c r="O36" s="90"/>
      <c r="P36" s="90"/>
      <c r="Q36" s="90">
        <f>E36+F36+G36+H36+I36+J36+K36+L36+M36+N36+O36+P36</f>
        <v>0</v>
      </c>
      <c r="R36" s="15">
        <f t="shared" si="27"/>
        <v>0</v>
      </c>
      <c r="S36" s="9"/>
      <c r="T36" s="9"/>
      <c r="U36" s="9">
        <f>U39-U40</f>
        <v>875000000</v>
      </c>
      <c r="V36" s="9">
        <f t="shared" ref="V36:AD36" si="41">V39-V40</f>
        <v>1400000000</v>
      </c>
      <c r="W36" s="9">
        <f t="shared" si="41"/>
        <v>1160909180.76</v>
      </c>
      <c r="X36" s="9">
        <f t="shared" si="41"/>
        <v>1553958868.1400003</v>
      </c>
      <c r="Y36" s="9">
        <f t="shared" si="41"/>
        <v>960665486.20101571</v>
      </c>
      <c r="Z36" s="9">
        <f t="shared" si="41"/>
        <v>934631740.56165075</v>
      </c>
      <c r="AA36" s="9">
        <f t="shared" si="41"/>
        <v>1130319343.9566104</v>
      </c>
      <c r="AB36" s="9">
        <f t="shared" si="41"/>
        <v>1050122840.4772694</v>
      </c>
      <c r="AC36" s="9">
        <f t="shared" si="41"/>
        <v>425117516.42098188</v>
      </c>
      <c r="AD36" s="9">
        <f t="shared" si="41"/>
        <v>357776671.88354897</v>
      </c>
      <c r="AE36" s="15">
        <f>S36+T36+U36+V36+W36+X36+Y36+Z36+AA36+AB36+AC36+AD36</f>
        <v>9848501648.4010773</v>
      </c>
      <c r="AF36" s="15">
        <f t="shared" si="29"/>
        <v>9848501648.4010773</v>
      </c>
      <c r="AG36" s="9">
        <f>AG39-AG40-25522.6</f>
        <v>3453074385.5649858</v>
      </c>
      <c r="AH36" s="15">
        <f>AF36+AG36</f>
        <v>13301576033.966063</v>
      </c>
      <c r="AI36" s="100"/>
    </row>
    <row r="37" spans="1:35" s="117" customFormat="1" x14ac:dyDescent="0.25">
      <c r="A37" s="116" t="s">
        <v>49</v>
      </c>
      <c r="D37" s="118"/>
      <c r="E37" s="118"/>
      <c r="F37" s="118"/>
      <c r="G37" s="118"/>
      <c r="H37" s="119">
        <v>190000000</v>
      </c>
      <c r="I37" s="119">
        <v>250000000</v>
      </c>
      <c r="J37" s="119">
        <f>1133000000-190000000-250000000</f>
        <v>693000000</v>
      </c>
      <c r="K37" s="119">
        <v>450000000</v>
      </c>
      <c r="L37" s="119">
        <v>450000000</v>
      </c>
      <c r="M37" s="119">
        <f>1216000000-900000000</f>
        <v>316000000</v>
      </c>
      <c r="N37" s="119">
        <f>194673012+500000000</f>
        <v>694673012</v>
      </c>
      <c r="O37" s="119">
        <f>259564016+500000000</f>
        <v>759564016</v>
      </c>
      <c r="P37" s="119">
        <f>194673012+557000000-910040</f>
        <v>750762972</v>
      </c>
      <c r="Q37" s="119">
        <f>E37+F37+G37+H37+I37+J37+K37+L37+M37+N37+O37+P37</f>
        <v>4554000000</v>
      </c>
      <c r="R37" s="120">
        <f t="shared" si="27"/>
        <v>4554000000</v>
      </c>
      <c r="S37" s="118">
        <v>556000000</v>
      </c>
      <c r="T37" s="118">
        <v>790000000</v>
      </c>
      <c r="U37" s="118">
        <v>928000000</v>
      </c>
      <c r="V37" s="118">
        <v>1257000000</v>
      </c>
      <c r="W37" s="118">
        <v>1657000000</v>
      </c>
      <c r="X37" s="118">
        <v>1846000000</v>
      </c>
      <c r="Y37" s="118">
        <v>2259000000</v>
      </c>
      <c r="Z37" s="118">
        <v>2460000000</v>
      </c>
      <c r="AA37" s="118">
        <v>2366000000</v>
      </c>
      <c r="AB37" s="118">
        <f>1659000000+5000000000</f>
        <v>6659000000</v>
      </c>
      <c r="AC37" s="118">
        <f>2285000000+5000000000</f>
        <v>7285000000</v>
      </c>
      <c r="AD37" s="118">
        <f>1946000000+5000000000</f>
        <v>6946000000</v>
      </c>
      <c r="AE37" s="120">
        <f>S37+T37+U37+V37+W37+X37+Y37+Z37+AA37+AB37+AC37+AD37</f>
        <v>35009000000</v>
      </c>
      <c r="AF37" s="120">
        <f t="shared" si="29"/>
        <v>39563000000</v>
      </c>
      <c r="AG37" s="120">
        <f>44987596820-24563000000</f>
        <v>20424596820</v>
      </c>
      <c r="AH37" s="120">
        <f>AF37+AG37</f>
        <v>59987596820</v>
      </c>
    </row>
    <row r="38" spans="1:35" x14ac:dyDescent="0.25">
      <c r="A38" s="16" t="s">
        <v>25</v>
      </c>
      <c r="D38" s="17"/>
      <c r="E38" s="17">
        <f>D38+E37</f>
        <v>0</v>
      </c>
      <c r="F38" s="17">
        <f>E38+F37</f>
        <v>0</v>
      </c>
      <c r="G38" s="17">
        <f>F38+G37</f>
        <v>0</v>
      </c>
      <c r="H38" s="93">
        <f>G38+H37-H39</f>
        <v>190000000</v>
      </c>
      <c r="I38" s="93">
        <f t="shared" ref="I38:P38" si="42">H38+I37-I39</f>
        <v>440000000</v>
      </c>
      <c r="J38" s="93">
        <f t="shared" si="42"/>
        <v>1133000000</v>
      </c>
      <c r="K38" s="93">
        <f t="shared" si="42"/>
        <v>1583000000</v>
      </c>
      <c r="L38" s="93">
        <f t="shared" si="42"/>
        <v>2033000000</v>
      </c>
      <c r="M38" s="93">
        <f t="shared" si="42"/>
        <v>2349000000</v>
      </c>
      <c r="N38" s="93">
        <f t="shared" si="42"/>
        <v>2849000000</v>
      </c>
      <c r="O38" s="93">
        <f t="shared" si="42"/>
        <v>3608564016</v>
      </c>
      <c r="P38" s="93">
        <f t="shared" si="42"/>
        <v>3905059960</v>
      </c>
      <c r="Q38" s="93">
        <f>P38</f>
        <v>3905059960</v>
      </c>
      <c r="R38" s="17">
        <f>Q38</f>
        <v>3905059960</v>
      </c>
      <c r="S38" s="17">
        <f>R38+S37-S39</f>
        <v>4461059960</v>
      </c>
      <c r="T38" s="17">
        <f t="shared" ref="T38:AD38" si="43">S38+T37-T39</f>
        <v>5251059960</v>
      </c>
      <c r="U38" s="17">
        <f t="shared" si="43"/>
        <v>4929059960</v>
      </c>
      <c r="V38" s="17">
        <f t="shared" si="43"/>
        <v>4186059960</v>
      </c>
      <c r="W38" s="17">
        <f t="shared" si="43"/>
        <v>4184618273.1999998</v>
      </c>
      <c r="X38" s="17">
        <f t="shared" si="43"/>
        <v>3810677032.9999995</v>
      </c>
      <c r="Y38" s="17">
        <f t="shared" si="43"/>
        <v>3988900179.6400003</v>
      </c>
      <c r="Z38" s="17">
        <f t="shared" si="43"/>
        <v>4424511752.96</v>
      </c>
      <c r="AA38" s="17">
        <f t="shared" si="43"/>
        <v>4342268986.2600002</v>
      </c>
      <c r="AB38" s="17">
        <f t="shared" si="43"/>
        <v>8726729793.3400002</v>
      </c>
      <c r="AC38" s="17">
        <f t="shared" si="43"/>
        <v>13163325398.690001</v>
      </c>
      <c r="AD38" s="17">
        <f t="shared" si="43"/>
        <v>17712123201.340004</v>
      </c>
      <c r="AE38" s="17">
        <f>AD38</f>
        <v>17712123201.340004</v>
      </c>
      <c r="AF38" s="17">
        <f>AE38</f>
        <v>17712123201.340004</v>
      </c>
      <c r="AG38" s="17">
        <f>AF38+AG37-AG39</f>
        <v>15000000000.040005</v>
      </c>
      <c r="AH38" s="17">
        <f t="shared" si="32"/>
        <v>32712123201.380009</v>
      </c>
    </row>
    <row r="39" spans="1:35" x14ac:dyDescent="0.25">
      <c r="A39" s="19" t="s">
        <v>26</v>
      </c>
      <c r="B39" s="78"/>
      <c r="C39" s="79">
        <f>C33*100/70</f>
        <v>0</v>
      </c>
      <c r="D39" s="94">
        <f>B39+C39</f>
        <v>0</v>
      </c>
      <c r="E39" s="94"/>
      <c r="F39" s="94">
        <f>F33*100/70</f>
        <v>0</v>
      </c>
      <c r="G39" s="94">
        <f>G33*100/70</f>
        <v>0</v>
      </c>
      <c r="H39" s="94">
        <f>H33*100/70</f>
        <v>0</v>
      </c>
      <c r="I39" s="94">
        <f>I33</f>
        <v>0</v>
      </c>
      <c r="J39" s="94">
        <f>J33</f>
        <v>0</v>
      </c>
      <c r="K39" s="94">
        <f>K33*100/70</f>
        <v>0</v>
      </c>
      <c r="L39" s="94">
        <f>L33</f>
        <v>0</v>
      </c>
      <c r="M39" s="94"/>
      <c r="N39" s="94">
        <v>194673012</v>
      </c>
      <c r="O39" s="94"/>
      <c r="P39" s="94">
        <f>P33+194673012</f>
        <v>454267028</v>
      </c>
      <c r="Q39" s="95">
        <f>E39+F39+G39+H39+I39+J39+K39+L39+M39+N39+O39+P39</f>
        <v>648940040</v>
      </c>
      <c r="R39" s="21">
        <f>Q39+D39</f>
        <v>648940040</v>
      </c>
      <c r="S39" s="20"/>
      <c r="T39" s="20"/>
      <c r="U39" s="103">
        <v>1250000000</v>
      </c>
      <c r="V39" s="103">
        <v>2000000000</v>
      </c>
      <c r="W39" s="103">
        <f>5528138956*0.3</f>
        <v>1658441686.8</v>
      </c>
      <c r="X39" s="103">
        <f>5549853100.5*0.4</f>
        <v>2219941240.2000003</v>
      </c>
      <c r="Y39" s="103">
        <f>5201942133.4*0.4</f>
        <v>2080776853.3599999</v>
      </c>
      <c r="Z39" s="103">
        <f>5060971066.7*0.4</f>
        <v>2024388426.6800001</v>
      </c>
      <c r="AA39" s="103">
        <f>4896485533.4*0.5</f>
        <v>2448242766.6999998</v>
      </c>
      <c r="AB39" s="103">
        <f>5686347982.3*0.4</f>
        <v>2274539192.9200001</v>
      </c>
      <c r="AC39" s="20">
        <f>5696808789.3*0.5</f>
        <v>2848404394.6500001</v>
      </c>
      <c r="AD39" s="20">
        <f>4794404394.7*0.5</f>
        <v>2397202197.3499999</v>
      </c>
      <c r="AE39" s="21">
        <f>S39+T39+U39+V39+W39+X39+Y39+Z39+AA39+AB39+AC39+AD39</f>
        <v>21201936758.66</v>
      </c>
      <c r="AF39" s="21">
        <f>AE39+R39</f>
        <v>21850876798.66</v>
      </c>
      <c r="AG39" s="21">
        <v>23136720021.299999</v>
      </c>
      <c r="AH39" s="21">
        <f t="shared" si="32"/>
        <v>44987596819.959999</v>
      </c>
      <c r="AI39" s="100"/>
    </row>
    <row r="40" spans="1:35" x14ac:dyDescent="0.25">
      <c r="A40" s="22" t="s">
        <v>27</v>
      </c>
      <c r="B40" s="81"/>
      <c r="C40" s="82">
        <f>C39*30%</f>
        <v>0</v>
      </c>
      <c r="D40" s="96">
        <f>B40+C40</f>
        <v>0</v>
      </c>
      <c r="E40" s="96"/>
      <c r="F40" s="96">
        <f t="shared" ref="F40:H40" si="44">F39*30%</f>
        <v>0</v>
      </c>
      <c r="G40" s="96">
        <f t="shared" si="44"/>
        <v>0</v>
      </c>
      <c r="H40" s="96">
        <f t="shared" si="44"/>
        <v>0</v>
      </c>
      <c r="I40" s="96"/>
      <c r="J40" s="96"/>
      <c r="K40" s="96">
        <f>K39*30%</f>
        <v>0</v>
      </c>
      <c r="L40" s="96"/>
      <c r="M40" s="96"/>
      <c r="N40" s="96"/>
      <c r="O40" s="96"/>
      <c r="P40" s="96"/>
      <c r="Q40" s="97">
        <f>E40+F40+G40+H40+I40+J40+K40+L40+M40+N40+O40+P40</f>
        <v>0</v>
      </c>
      <c r="R40" s="24">
        <f>Q40+D40</f>
        <v>0</v>
      </c>
      <c r="S40" s="23"/>
      <c r="T40" s="23">
        <f t="shared" ref="T40" si="45">T39*30%</f>
        <v>0</v>
      </c>
      <c r="U40" s="23">
        <f>U39*U41</f>
        <v>375000000</v>
      </c>
      <c r="V40" s="23">
        <f>V39*V41</f>
        <v>600000000</v>
      </c>
      <c r="W40" s="23">
        <f>W39*V41</f>
        <v>497532506.03999996</v>
      </c>
      <c r="X40" s="23">
        <f>X39*V41</f>
        <v>665982372.06000006</v>
      </c>
      <c r="Y40" s="23">
        <f t="shared" ref="Y40:AD40" si="46">Y39*Y41</f>
        <v>1120111367.1589842</v>
      </c>
      <c r="Z40" s="23">
        <f t="shared" si="46"/>
        <v>1089756686.1183493</v>
      </c>
      <c r="AA40" s="23">
        <f t="shared" si="46"/>
        <v>1317923422.7433894</v>
      </c>
      <c r="AB40" s="23">
        <f t="shared" si="46"/>
        <v>1224416352.4427307</v>
      </c>
      <c r="AC40" s="23">
        <f t="shared" si="46"/>
        <v>2423286878.2290182</v>
      </c>
      <c r="AD40" s="23">
        <f t="shared" si="46"/>
        <v>2039425525.4664509</v>
      </c>
      <c r="AE40" s="24">
        <f>S40+T40+U40+V40+W40+X40+Y40+Z40+AA40+AB40+AC40+AD40</f>
        <v>11353435110.258924</v>
      </c>
      <c r="AF40" s="24">
        <f>AE40+R40</f>
        <v>11353435110.258924</v>
      </c>
      <c r="AG40" s="24">
        <f>AG39*AD41</f>
        <v>19683620113.135014</v>
      </c>
      <c r="AH40" s="24">
        <f t="shared" si="32"/>
        <v>31037055223.393936</v>
      </c>
    </row>
    <row r="41" spans="1:35" hidden="1" x14ac:dyDescent="0.25">
      <c r="U41" s="107">
        <v>0.3</v>
      </c>
      <c r="V41" s="107">
        <v>0.3</v>
      </c>
      <c r="W41" s="108">
        <f>V41</f>
        <v>0.3</v>
      </c>
      <c r="X41" s="108">
        <f>W41</f>
        <v>0.3</v>
      </c>
      <c r="Y41" s="108">
        <f>Y46</f>
        <v>0.53831402697038322</v>
      </c>
      <c r="Z41" s="108">
        <f>Y41</f>
        <v>0.53831402697038322</v>
      </c>
      <c r="AA41" s="108">
        <f>Z41</f>
        <v>0.53831402697038322</v>
      </c>
      <c r="AB41" s="108">
        <f>AA41</f>
        <v>0.53831402697038322</v>
      </c>
      <c r="AC41" s="108">
        <f>AC46</f>
        <v>0.85075240116204831</v>
      </c>
      <c r="AD41" s="108">
        <f>AC46</f>
        <v>0.85075240116204831</v>
      </c>
      <c r="AF41" s="51"/>
      <c r="AG41" s="108">
        <f>AD41</f>
        <v>0.85075240116204831</v>
      </c>
    </row>
    <row r="42" spans="1:35" hidden="1" x14ac:dyDescent="0.25">
      <c r="V42" s="108"/>
      <c r="W42" s="108"/>
      <c r="X42" s="108"/>
      <c r="Y42" s="108"/>
      <c r="Z42" s="108"/>
      <c r="AA42" s="108"/>
      <c r="AB42" s="108"/>
      <c r="AC42" s="108"/>
      <c r="AD42" s="108"/>
      <c r="AH42" s="102">
        <f>AH39-T46</f>
        <v>-4.000091552734375E-2</v>
      </c>
    </row>
    <row r="43" spans="1:35" hidden="1" x14ac:dyDescent="0.25">
      <c r="A43" s="84"/>
      <c r="B43" s="84"/>
      <c r="C43" s="85"/>
      <c r="D43" s="86"/>
      <c r="E43" s="75"/>
      <c r="F43" s="71"/>
      <c r="S43" s="109" t="s">
        <v>58</v>
      </c>
      <c r="T43" s="110">
        <v>44338686780</v>
      </c>
      <c r="X43" s="109" t="s">
        <v>58</v>
      </c>
      <c r="Y43" s="110">
        <f>T43-U39-V39-W39-X39</f>
        <v>37210303853</v>
      </c>
      <c r="AB43" s="109" t="s">
        <v>58</v>
      </c>
      <c r="AC43" s="110">
        <f>Y43-Y39-Z39-AA39-AB39</f>
        <v>28382356613.339996</v>
      </c>
    </row>
    <row r="44" spans="1:35" ht="15.75" hidden="1" x14ac:dyDescent="0.25">
      <c r="A44" s="99" t="s">
        <v>51</v>
      </c>
      <c r="B44" s="68"/>
      <c r="C44" s="69"/>
      <c r="D44" s="73"/>
      <c r="E44" s="74"/>
      <c r="H44" s="71" t="s">
        <v>52</v>
      </c>
      <c r="S44" s="111"/>
      <c r="T44" s="111"/>
      <c r="X44" s="111"/>
      <c r="Y44" s="111"/>
      <c r="AB44" s="111"/>
      <c r="AC44" s="111"/>
    </row>
    <row r="45" spans="1:35" hidden="1" x14ac:dyDescent="0.25">
      <c r="A45" s="70"/>
      <c r="B45" s="68"/>
      <c r="C45" s="69"/>
      <c r="D45" s="73"/>
      <c r="E45" s="74"/>
      <c r="F45" s="71"/>
      <c r="S45" s="109" t="s">
        <v>59</v>
      </c>
      <c r="T45" s="110">
        <v>648910040</v>
      </c>
      <c r="X45" s="109"/>
      <c r="Y45" s="110">
        <f>R35+S35+Y35-U40-V40-W40-X40</f>
        <v>20030828511.899998</v>
      </c>
      <c r="AB45" s="109" t="s">
        <v>61</v>
      </c>
      <c r="AC45" s="110">
        <f>Y45-Y40-Z40-AA40-AB40+AC35</f>
        <v>24146358039.436543</v>
      </c>
    </row>
    <row r="46" spans="1:35" hidden="1" x14ac:dyDescent="0.25">
      <c r="A46" s="71"/>
      <c r="B46" s="71"/>
      <c r="C46" s="71"/>
      <c r="D46" s="72"/>
      <c r="E46" s="72"/>
      <c r="F46" s="71"/>
      <c r="S46" s="111"/>
      <c r="T46" s="112">
        <v>44987596820</v>
      </c>
      <c r="X46" s="111"/>
      <c r="Y46" s="114">
        <f>Y45/Y43</f>
        <v>0.53831402697038322</v>
      </c>
      <c r="AB46" s="111"/>
      <c r="AC46" s="114">
        <f>AC45/AC43</f>
        <v>0.85075240116204831</v>
      </c>
    </row>
    <row r="47" spans="1:35" hidden="1" x14ac:dyDescent="0.25">
      <c r="A47" s="71"/>
      <c r="B47" s="71"/>
      <c r="C47" s="71"/>
      <c r="D47" s="71"/>
      <c r="E47" s="71"/>
      <c r="F47" s="71"/>
    </row>
    <row r="48" spans="1:35" hidden="1" x14ac:dyDescent="0.25">
      <c r="S48" t="s">
        <v>60</v>
      </c>
      <c r="T48" s="100">
        <f>R35+S35</f>
        <v>13301606034.130001</v>
      </c>
      <c r="Y48" s="100"/>
      <c r="AC48" s="101">
        <f>(AC43-AC45)*70%</f>
        <v>2965199001.7324176</v>
      </c>
    </row>
    <row r="49" spans="1:25" hidden="1" x14ac:dyDescent="0.25">
      <c r="T49" s="113">
        <f>T48/T43</f>
        <v>0.30000000000293198</v>
      </c>
      <c r="Y49" s="113"/>
    </row>
    <row r="50" spans="1:25" hidden="1" x14ac:dyDescent="0.25"/>
    <row r="53" spans="1:25" x14ac:dyDescent="0.25">
      <c r="A53" t="s">
        <v>62</v>
      </c>
      <c r="S53" t="s">
        <v>52</v>
      </c>
    </row>
  </sheetData>
  <mergeCells count="19">
    <mergeCell ref="N25:O25"/>
    <mergeCell ref="E27:Q27"/>
    <mergeCell ref="A1:D1"/>
    <mergeCell ref="A3:A4"/>
    <mergeCell ref="B3:D3"/>
    <mergeCell ref="E3:Q3"/>
    <mergeCell ref="F20:G20"/>
    <mergeCell ref="N20:O20"/>
    <mergeCell ref="S3:AE3"/>
    <mergeCell ref="AF3:AF4"/>
    <mergeCell ref="R3:R4"/>
    <mergeCell ref="N21:O21"/>
    <mergeCell ref="F24:G24"/>
    <mergeCell ref="N24:O24"/>
    <mergeCell ref="S27:AE27"/>
    <mergeCell ref="AF27:AF28"/>
    <mergeCell ref="R27:R28"/>
    <mergeCell ref="AG27:AG28"/>
    <mergeCell ref="AH27:AH28"/>
  </mergeCells>
  <pageMargins left="0.31496062992125984" right="0.31496062992125984" top="0.35433070866141736" bottom="0.35433070866141736" header="0.11811023622047245" footer="0.11811023622047245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Лист1 (2)</vt:lpstr>
      <vt:lpstr>аванс 1 пк</vt:lpstr>
      <vt:lpstr>авансирование пк1</vt:lpstr>
      <vt:lpstr>на заказчика ПК  1</vt:lpstr>
      <vt:lpstr>Финплан</vt:lpstr>
      <vt:lpstr>Лист1</vt:lpstr>
      <vt:lpstr>финанс 22 (70% от 28 млрд)</vt:lpstr>
      <vt:lpstr>'финанс 22 (70% от 28 млрд)'!Область_печати</vt:lpstr>
      <vt:lpstr>Финплан!Область_печати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Ловцова</dc:creator>
  <cp:lastModifiedBy>Тимошенко Яна Владимировна</cp:lastModifiedBy>
  <cp:lastPrinted>2023-07-25T05:50:37Z</cp:lastPrinted>
  <dcterms:created xsi:type="dcterms:W3CDTF">2021-05-26T07:47:05Z</dcterms:created>
  <dcterms:modified xsi:type="dcterms:W3CDTF">2024-06-25T09:12:29Z</dcterms:modified>
</cp:coreProperties>
</file>